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IEL1e9qzdR7NIcRMDgm3A3rHRqyib6srZG5i1vkCiQNhuV1N1/Zfzw12vFSNUXkfAEH+hB6iSJFFU1RZDHSoKA==" workbookSaltValue="D2reQ1LvPaaOiAkgr0Zqh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30" i="2" s="1"/>
  <c r="K25" i="2"/>
  <c r="K26" i="2" s="1"/>
  <c r="K22" i="2"/>
  <c r="K21" i="2"/>
  <c r="K20" i="2"/>
  <c r="K19" i="2"/>
  <c r="K18" i="2"/>
  <c r="K17" i="2"/>
  <c r="K16" i="2"/>
  <c r="L16" i="2" s="1"/>
  <c r="K13" i="2"/>
  <c r="K12" i="2"/>
  <c r="K11" i="2"/>
  <c r="K10" i="2"/>
  <c r="K9" i="2"/>
  <c r="L9" i="2" s="1"/>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ES31" i="8"/>
  <c r="N25" i="11"/>
  <c r="R8" i="9"/>
  <c r="BH11" i="16" s="1"/>
  <c r="F16" i="11"/>
  <c r="AQ16" i="11" s="1"/>
  <c r="EP31" i="8"/>
  <c r="AL14" i="16"/>
  <c r="AJ14" i="16"/>
  <c r="EP31" i="19"/>
  <c r="S20" i="14"/>
  <c r="V20" i="14" s="1"/>
  <c r="P18" i="17"/>
  <c r="BK19" i="11"/>
  <c r="S14" i="16"/>
  <c r="P14" i="16"/>
  <c r="F13" i="16"/>
  <c r="Z14" i="17"/>
  <c r="R30" i="17"/>
  <c r="N26" i="2"/>
  <c r="F30" i="17"/>
  <c r="F26" i="17"/>
  <c r="F14" i="7"/>
  <c r="BJ21" i="11"/>
  <c r="BI16" i="11"/>
  <c r="BG9" i="11"/>
  <c r="R18" i="20"/>
  <c r="R23" i="20" s="1"/>
  <c r="BK18" i="11"/>
  <c r="AP18" i="20"/>
  <c r="BU25" i="17"/>
  <c r="BV13" i="16"/>
  <c r="BV21" i="16"/>
  <c r="BV11" i="16"/>
  <c r="S21" i="17"/>
  <c r="BU13" i="17"/>
  <c r="BV20" i="16"/>
  <c r="AZ11" i="11"/>
  <c r="BF12" i="11"/>
  <c r="BK20" i="11"/>
  <c r="Q16" i="17"/>
  <c r="BL22" i="11"/>
  <c r="BK10" i="11"/>
  <c r="T14" i="20"/>
  <c r="BB26" i="13"/>
  <c r="BF16" i="8"/>
  <c r="BD9" i="8"/>
  <c r="X21" i="20"/>
  <c r="AH14" i="16"/>
  <c r="AO14" i="21"/>
  <c r="AP14" i="16"/>
  <c r="V25"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T32" i="21"/>
  <c r="AF32" i="20"/>
  <c r="K32" i="20"/>
  <c r="O17" i="11"/>
  <c r="AJ32" i="20"/>
  <c r="G30" i="14"/>
  <c r="G23" i="14"/>
  <c r="U18" i="11"/>
  <c r="AX32" i="20"/>
  <c r="Y32" i="20"/>
  <c r="L32" i="20"/>
  <c r="AG32" i="20"/>
  <c r="H32" i="20"/>
  <c r="F32" i="20"/>
  <c r="G26" i="14"/>
  <c r="S32" i="20"/>
  <c r="AQ32" i="21"/>
  <c r="AL21" i="11" l="1"/>
  <c r="L17" i="14"/>
  <c r="M23" i="2"/>
  <c r="H28" i="2"/>
  <c r="X16" i="16"/>
  <c r="X23" i="16" s="1"/>
  <c r="L18" i="2"/>
  <c r="L10" i="2"/>
  <c r="BI22" i="11"/>
  <c r="BF16" i="11"/>
  <c r="BJ10" i="11"/>
  <c r="BH25" i="16"/>
  <c r="P16" i="17"/>
  <c r="S25" i="17"/>
  <c r="S11" i="17"/>
  <c r="BW28" i="20"/>
  <c r="BW11" i="20"/>
  <c r="BU29" i="17"/>
  <c r="BW13" i="20"/>
  <c r="BV28" i="16"/>
  <c r="BG21" i="11"/>
  <c r="T18" i="16"/>
  <c r="BL21" i="11"/>
  <c r="BL11" i="11"/>
  <c r="BM13" i="11"/>
  <c r="BF22" i="11"/>
  <c r="BF29" i="11"/>
  <c r="BH16" i="11"/>
  <c r="T9" i="1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I19" i="12" l="1"/>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BC32" i="16"/>
  <c r="AU32" i="21"/>
  <c r="AE32" i="17"/>
  <c r="F32" i="16"/>
  <c r="AK32" i="11"/>
  <c r="E32" i="12"/>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AN32" i="16"/>
  <c r="AG32" i="17"/>
  <c r="AC32" i="17"/>
  <c r="AF32" i="16"/>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<sst xmlns="http://schemas.openxmlformats.org/spreadsheetml/2006/main" count="2682" uniqueCount="1192">
  <si>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</si>
  <si>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</si>
  <si>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</si>
  <si>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</si>
  <si>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</si>
  <si>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</si>
  <si>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</si>
  <si>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</si>
  <si>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</si>
  <si>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</si>
  <si>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</si>
  <si>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</si>
  <si>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</si>
  <si>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</si>
  <si>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</si>
  <si>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</si>
  <si>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</si>
  <si>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</si>
  <si>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</si>
  <si>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</si>
  <si>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</si>
  <si>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</si>
  <si>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</si>
  <si>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</si>
  <si>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</si>
  <si>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</si>
  <si>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</si>
  <si>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</si>
  <si>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</si>
  <si>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</si>
  <si>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</si>
  <si>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</si>
  <si>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</si>
  <si>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</si>
  <si>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</si>
  <si>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</si>
  <si>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</si>
  <si>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</si>
  <si>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</si>
  <si>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</si>
  <si>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</si>
  <si>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</si>
  <si>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</si>
  <si>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</si>
  <si>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</si>
  <si>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</si>
  <si>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</si>
  <si>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</si>
  <si>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</si>
  <si>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</si>
  <si>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</si>
  <si>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</si>
  <si>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</si>
  <si>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</si>
  <si>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</si>
  <si>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</si>
  <si>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</si>
  <si>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</si>
  <si>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</si>
  <si>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</si>
  <si>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</si>
  <si>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</si>
  <si>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</si>
  <si>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</si>
  <si>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</si>
  <si>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</si>
  <si>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</si>
  <si>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</si>
  <si>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</si>
  <si>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</si>
  <si>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</si>
  <si>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</si>
  <si>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</si>
  <si>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</si>
  <si>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</si>
  <si>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</si>
  <si>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</si>
  <si>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</si>
  <si>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</si>
  <si>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</si>
  <si>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</si>
  <si>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</si>
  <si>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</si>
  <si>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</si>
  <si>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</si>
  <si>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</si>
  <si>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</si>
  <si>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</si>
  <si>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</si>
  <si>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</si>
  <si>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</si>
  <si>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</si>
  <si>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</si>
  <si>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</si>
  <si>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</si>
  <si>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</si>
  <si>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</si>
  <si>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</si>
  <si>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</si>
  <si>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</si>
  <si>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</si>
  <si>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</si>
  <si>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</si>
  <si>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</si>
  <si>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</si>
  <si>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</si>
  <si>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</si>
  <si>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</si>
  <si>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</si>
  <si>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</si>
  <si>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</si>
  <si>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</si>
  <si>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</si>
  <si>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</si>
  <si>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</si>
  <si>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</si>
  <si>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</si>
  <si>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</si>
  <si>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</si>
  <si>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</si>
  <si>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</si>
  <si>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</si>
  <si>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</si>
  <si>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</si>
  <si>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</si>
  <si>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</si>
  <si>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</si>
  <si>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</si>
  <si>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</si>
  <si>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</si>
  <si>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</si>
  <si>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</si>
  <si>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</si>
  <si>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</si>
  <si>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</si>
  <si>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</si>
  <si>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</si>
  <si>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</si>
  <si>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</si>
  <si>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</si>
  <si>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</si>
  <si>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</si>
  <si>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</si>
  <si>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</si>
  <si>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</si>
  <si>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</si>
  <si>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</si>
  <si>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</si>
  <si>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</si>
  <si>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</si>
  <si>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</si>
  <si>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</si>
  <si>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</si>
  <si>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</si>
  <si>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</si>
  <si>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</si>
  <si>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</si>
  <si>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</si>
  <si>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</si>
  <si>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</si>
  <si>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</si>
  <si>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</si>
  <si>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</si>
  <si>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</si>
  <si>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</si>
  <si>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</si>
  <si>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</si>
  <si>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</si>
  <si>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</si>
  <si>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</si>
  <si>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</si>
  <si>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</si>
  <si>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</si>
  <si>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</si>
  <si>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</si>
  <si>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</si>
  <si>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</si>
  <si>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</si>
  <si>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</si>
  <si>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</si>
  <si>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</si>
  <si>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</si>
  <si>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</si>
  <si>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</si>
  <si>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</si>
  <si>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</si>
  <si>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</si>
  <si>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</si>
  <si>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</si>
  <si>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</si>
  <si>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</si>
  <si>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</si>
  <si>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</si>
  <si>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</si>
  <si>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</si>
  <si>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</si>
  <si>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</si>
  <si>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</si>
  <si>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</si>
  <si>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</si>
  <si>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</si>
  <si>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</si>
  <si>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</si>
  <si>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</si>
  <si>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</si>
  <si>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</si>
  <si>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</si>
  <si>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</si>
  <si>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</si>
  <si>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</si>
  <si>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</si>
  <si>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</si>
  <si>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</si>
  <si>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</si>
  <si>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</si>
  <si>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</si>
  <si>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</si>
  <si>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</si>
  <si>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</si>
  <si>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</si>
  <si>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</si>
  <si>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</si>
  <si>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</si>
  <si>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</si>
  <si>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</si>
  <si>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</si>
  <si>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</si>
  <si>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</si>
  <si>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</si>
  <si>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</si>
  <si>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</si>
  <si>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</si>
  <si>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</si>
  <si>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</si>
  <si>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</si>
  <si>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</si>
  <si>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</si>
  <si>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</si>
  <si>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</si>
  <si>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</si>
  <si>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</si>
  <si>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</si>
  <si>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</si>
  <si>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</si>
  <si>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</si>
  <si>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</si>
  <si>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</si>
  <si>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</si>
  <si>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</si>
  <si>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</si>
  <si>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</si>
  <si>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</si>
  <si>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</si>
  <si>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</si>
  <si>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</si>
  <si>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</si>
  <si>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</si>
  <si>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</si>
  <si>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</si>
  <si>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</si>
  <si>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</si>
  <si>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</si>
  <si>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</si>
  <si>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</si>
  <si>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</si>
  <si>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</si>
  <si>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</si>
  <si>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</si>
  <si>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</si>
  <si>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</si>
  <si>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</si>
  <si>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</si>
  <si>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</si>
  <si>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</si>
  <si>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</si>
  <si>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</si>
  <si>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</si>
  <si>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</si>
  <si>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</si>
  <si>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</si>
  <si>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</si>
  <si>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</si>
  <si>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</si>
  <si>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</si>
  <si>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</si>
  <si>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</si>
  <si>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</si>
  <si>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</si>
  <si>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</si>
  <si>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</si>
  <si>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</si>
  <si>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</si>
  <si>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</si>
  <si>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</si>
  <si>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</si>
  <si>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</si>
  <si>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</si>
  <si>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</si>
  <si>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</si>
  <si>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</si>
  <si>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</si>
  <si>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</si>
  <si>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</si>
  <si>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</si>
  <si>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</si>
  <si>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</si>
  <si>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</si>
  <si>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</si>
  <si>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</si>
  <si>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</si>
  <si>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</si>
  <si>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</si>
  <si>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</si>
  <si>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</si>
  <si>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</si>
  <si>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</si>
  <si>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</si>
  <si>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</si>
  <si>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</si>
  <si>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</si>
  <si>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</si>
  <si>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</si>
  <si>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</si>
  <si>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</si>
  <si>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</si>
  <si>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</si>
  <si>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</si>
  <si>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</si>
  <si>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</si>
  <si>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</si>
  <si>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</si>
  <si>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</si>
  <si>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</si>
  <si>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</si>
  <si>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</si>
  <si>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</si>
  <si>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</si>
  <si>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</si>
  <si>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</si>
  <si>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</si>
  <si>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</si>
  <si>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</si>
  <si>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</si>
  <si>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</si>
  <si>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</si>
  <si>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</si>
  <si>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</si>
  <si>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</si>
  <si>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</si>
  <si>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</si>
  <si>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</si>
  <si>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</si>
  <si>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</si>
  <si>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</si>
  <si>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</si>
  <si>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</si>
  <si>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</si>
  <si>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</si>
  <si>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</si>
  <si>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</si>
  <si>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</si>
  <si>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</si>
  <si>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</si>
  <si>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</si>
  <si>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</si>
  <si>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</si>
  <si>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</si>
  <si>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</si>
  <si>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</si>
  <si>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</si>
  <si>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</si>
  <si>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</si>
  <si>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</si>
  <si>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</si>
  <si>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</si>
  <si>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</si>
  <si>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</si>
  <si>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</si>
  <si>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</si>
  <si>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</si>
  <si>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</si>
  <si>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</si>
  <si>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</si>
  <si>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</si>
  <si>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</si>
  <si>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</si>
  <si>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</si>
  <si>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</si>
  <si>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</si>
  <si>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</si>
  <si>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</si>
  <si>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</si>
  <si>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</si>
  <si>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</si>
  <si>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</si>
  <si>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</si>
  <si>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</si>
  <si>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</si>
  <si>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</si>
  <si>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</si>
  <si>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</si>
  <si>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</si>
  <si>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</si>
  <si>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</si>
  <si>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</si>
  <si>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</si>
  <si>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</si>
  <si>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</si>
  <si>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</si>
  <si>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</si>
  <si>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</si>
  <si>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</si>
  <si>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</si>
  <si>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</si>
  <si>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</si>
  <si>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</si>
  <si>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</si>
  <si>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</si>
  <si>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</si>
  <si>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</si>
  <si>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</si>
  <si>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</si>
  <si>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</si>
  <si>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</si>
  <si>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</si>
  <si>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</si>
  <si>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</si>
  <si>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</si>
  <si>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</si>
  <si>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</si>
  <si>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</si>
  <si>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</si>
  <si>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</si>
  <si>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</si>
  <si>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</si>
  <si>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</si>
  <si>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</si>
  <si>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</si>
  <si>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</si>
  <si>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</si>
  <si>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</si>
  <si>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</si>
  <si>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</si>
  <si>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</si>
  <si>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</si>
  <si>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</si>
  <si>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</si>
  <si>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</si>
  <si>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</si>
  <si>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</si>
  <si>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</si>
  <si>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</si>
  <si>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</si>
  <si>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</si>
  <si>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</si>
  <si>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</si>
  <si>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</si>
  <si>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</si>
  <si>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</si>
  <si>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</si>
  <si>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</si>
  <si>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</si>
  <si>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</si>
  <si>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</si>
  <si>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</si>
  <si>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</si>
  <si>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</si>
  <si>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</si>
  <si>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</si>
  <si>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</si>
  <si>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</si>
  <si>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</si>
  <si>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</si>
  <si>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</si>
  <si>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</si>
  <si>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</si>
  <si>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</si>
  <si>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</si>
  <si>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</si>
  <si>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</si>
  <si>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</si>
  <si>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</si>
  <si>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</si>
  <si>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</si>
  <si>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</si>
  <si>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</si>
  <si>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</si>
  <si>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</si>
  <si>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</si>
  <si>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</si>
  <si>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</si>
  <si>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</si>
  <si>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</si>
  <si>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</si>
  <si>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</si>
  <si>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</si>
  <si>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</si>
  <si>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</si>
  <si>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</si>
  <si>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</si>
  <si>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</si>
  <si>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</si>
  <si>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</si>
  <si>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</si>
  <si>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</si>
  <si>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</si>
  <si>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</si>
  <si>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</si>
  <si>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</si>
  <si>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</si>
  <si>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</si>
  <si>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</si>
  <si>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</si>
  <si>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</si>
  <si>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</si>
  <si>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</si>
  <si>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</si>
  <si>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</si>
  <si>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</si>
  <si>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</si>
  <si>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</si>
  <si>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</si>
  <si>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</si>
  <si>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</si>
  <si>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</si>
  <si>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</si>
  <si>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</si>
  <si>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</si>
  <si>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</si>
  <si>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</si>
  <si>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</si>
  <si>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</si>
  <si>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</si>
  <si>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</si>
  <si>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</si>
  <si>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</si>
  <si>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</si>
  <si>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</si>
  <si>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</si>
  <si>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</si>
  <si>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</si>
  <si>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</si>
  <si>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</si>
  <si>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</si>
  <si>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</si>
  <si>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</si>
  <si>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</si>
  <si>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</si>
  <si>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</si>
  <si>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</si>
  <si>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</si>
  <si>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</si>
  <si>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</si>
  <si>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</si>
  <si>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</si>
  <si>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</si>
  <si>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</si>
  <si>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</si>
  <si>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</si>
  <si>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</si>
  <si>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</si>
  <si>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</si>
  <si>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</si>
  <si>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</si>
  <si>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</si>
  <si>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</si>
  <si>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</si>
  <si>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</si>
  <si>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</si>
  <si>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</si>
  <si>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</si>
  <si>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</si>
  <si>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</si>
  <si>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</si>
  <si>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</si>
  <si>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</si>
  <si>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</si>
  <si>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</si>
  <si>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</si>
  <si>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</si>
  <si>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</si>
  <si>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</si>
  <si>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</si>
  <si>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</si>
  <si>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</si>
  <si>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</si>
  <si>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</si>
  <si>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</si>
  <si>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</si>
  <si>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</si>
  <si>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</si>
  <si>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</si>
  <si>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</si>
  <si>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</si>
  <si>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</si>
  <si>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</si>
  <si>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</si>
  <si>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</si>
  <si>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</si>
  <si>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</si>
  <si>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</si>
  <si>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</si>
  <si>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</si>
  <si>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</si>
  <si>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</si>
  <si>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</si>
  <si>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</si>
  <si>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</si>
  <si>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</si>
  <si>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</si>
  <si>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</si>
  <si>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</si>
  <si>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</si>
  <si>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</si>
  <si>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</si>
  <si>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</si>
  <si>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</si>
  <si>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</si>
  <si>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</si>
  <si>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</si>
  <si>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</si>
  <si>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</si>
  <si>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</si>
  <si>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</si>
  <si>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</si>
  <si>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</si>
  <si>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</si>
  <si>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</si>
  <si>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</si>
  <si>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</si>
  <si>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</si>
  <si>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</si>
  <si>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</si>
  <si>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</si>
  <si>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</si>
  <si>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</si>
  <si>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</si>
  <si>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</si>
  <si>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</si>
  <si>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</si>
  <si>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</si>
  <si>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</si>
  <si>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</si>
  <si>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</si>
  <si>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</si>
  <si>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</si>
  <si>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</si>
  <si>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</si>
  <si>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</si>
  <si>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</si>
  <si>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</si>
  <si>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</si>
  <si>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</si>
  <si>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</si>
  <si>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</si>
  <si>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</si>
  <si>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</si>
  <si>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</si>
  <si>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</si>
  <si>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</si>
  <si>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</si>
  <si>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</si>
  <si>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</si>
  <si>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</si>
  <si>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</si>
  <si>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</si>
  <si>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</si>
  <si>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</si>
  <si>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</si>
  <si>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</si>
  <si>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</si>
  <si>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</si>
  <si>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</si>
  <si>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</si>
  <si>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</si>
  <si>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</si>
  <si>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</si>
  <si>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</si>
  <si>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</si>
  <si>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</si>
  <si>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</si>
  <si>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</si>
  <si>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</si>
  <si>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</si>
  <si>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</si>
  <si>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</si>
  <si>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</si>
  <si>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</si>
  <si>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</si>
  <si>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</si>
  <si>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</si>
  <si>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</si>
  <si>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</si>
  <si>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</si>
  <si>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</si>
  <si>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</si>
  <si>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</si>
  <si>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</si>
  <si>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</si>
  <si>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</si>
  <si>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</si>
  <si>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</si>
  <si>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</si>
  <si>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</si>
  <si>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</si>
  <si>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</si>
  <si>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</si>
  <si>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</si>
  <si>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</si>
  <si>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</si>
  <si>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</si>
  <si>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</si>
  <si>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</si>
  <si>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</si>
  <si>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</si>
  <si>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</si>
  <si>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</si>
  <si>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</si>
  <si>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</si>
  <si>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</si>
  <si>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</si>
  <si>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</si>
  <si>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</si>
  <si>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</si>
  <si>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</si>
  <si>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</si>
  <si>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</si>
  <si>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</si>
  <si>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</si>
  <si>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</si>
  <si>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</si>
  <si>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</si>
  <si>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</si>
  <si>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</si>
  <si>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</si>
  <si>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</si>
  <si>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</si>
  <si>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</si>
  <si>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</si>
  <si>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</si>
  <si>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</si>
  <si>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</si>
  <si>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</si>
  <si>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</si>
  <si>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</si>
  <si>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</si>
  <si>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</si>
  <si>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</si>
  <si>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</si>
  <si>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</si>
  <si>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</si>
  <si>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</si>
  <si>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</si>
  <si>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</si>
  <si>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</si>
  <si>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</si>
  <si>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</si>
  <si>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</si>
  <si>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</si>
  <si>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</si>
  <si>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</si>
  <si>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</si>
  <si>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</si>
  <si>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</si>
  <si>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</si>
  <si>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</si>
  <si>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</si>
  <si>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</si>
  <si>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</si>
  <si>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</si>
  <si>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</si>
  <si>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</si>
  <si>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</si>
  <si>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</si>
  <si>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</si>
  <si>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</si>
  <si>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</si>
  <si>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</si>
  <si>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</si>
  <si>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</si>
  <si>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</si>
  <si>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</si>
  <si>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</si>
  <si>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</si>
  <si>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</si>
  <si>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</si>
  <si>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</si>
  <si>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</si>
  <si>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</si>
  <si>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</si>
  <si>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</si>
  <si>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</si>
  <si>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</si>
  <si>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</si>
  <si>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</si>
  <si>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</si>
  <si>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</si>
  <si>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</si>
  <si>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</si>
  <si>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</si>
  <si>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</si>
  <si>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</si>
  <si>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</si>
  <si>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</si>
  <si>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</si>
  <si>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</si>
  <si>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</si>
  <si>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</si>
  <si>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</si>
  <si>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</si>
  <si>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</si>
  <si>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</si>
  <si>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</si>
  <si>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</si>
  <si>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</si>
  <si>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</si>
  <si>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</si>
  <si>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</si>
  <si>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</si>
  <si>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</si>
  <si>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</si>
  <si>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</si>
  <si>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</si>
  <si>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</si>
  <si>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</si>
  <si>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</si>
  <si>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</si>
  <si>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</si>
  <si>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</si>
  <si>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</si>
  <si>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</si>
  <si>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</si>
  <si>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</si>
  <si>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</si>
  <si>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</si>
  <si>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</si>
  <si>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</si>
  <si>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</si>
  <si>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</si>
  <si>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</si>
  <si>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</si>
  <si>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</si>
  <si>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</si>
  <si>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</si>
  <si>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</si>
  <si>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</si>
  <si>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</si>
  <si>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</si>
  <si>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</si>
  <si>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</si>
  <si>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</si>
  <si>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</si>
  <si>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</si>
  <si>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</si>
  <si>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</si>
  <si>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</si>
  <si>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</si>
  <si>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</si>
  <si>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</si>
  <si>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</si>
  <si>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</si>
  <si>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</si>
  <si>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</si>
  <si>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</si>
  <si>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</si>
  <si>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</si>
  <si>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</si>
  <si>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</si>
  <si>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</si>
  <si>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</si>
  <si>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</si>
  <si>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</si>
  <si>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</si>
  <si>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</si>
  <si>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</si>
  <si>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</si>
  <si>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</si>
  <si>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</si>
  <si>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</si>
  <si>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</si>
  <si>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</si>
  <si>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</si>
  <si>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</si>
  <si>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</si>
  <si>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</si>
  <si>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</si>
  <si>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</si>
  <si>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</si>
  <si>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</si>
  <si>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</si>
  <si>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</si>
  <si>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</si>
  <si>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</si>
  <si>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</si>
  <si>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</si>
  <si>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</si>
  <si>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</si>
  <si>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</si>
  <si>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</si>
  <si>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</si>
  <si>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</si>
  <si>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</si>
  <si>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</si>
  <si>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</si>
  <si>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</si>
  <si>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</si>
  <si>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</si>
  <si>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</si>
  <si>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</si>
  <si>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</si>
  <si>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</si>
  <si>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</si>
  <si>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</si>
  <si>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</si>
  <si>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</si>
  <si>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</si>
  <si>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</si>
  <si>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</si>
  <si>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</si>
  <si>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</si>
  <si>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</si>
  <si>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</si>
  <si>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</si>
  <si>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</si>
  <si>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</si>
  <si>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</si>
  <si>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</si>
  <si>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</si>
  <si>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</si>
  <si>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</si>
  <si>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</si>
  <si>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</si>
  <si>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</si>
  <si>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</si>
  <si>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</si>
  <si>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</si>
  <si>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</si>
  <si>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</si>
  <si>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</si>
  <si>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</si>
  <si>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</si>
  <si>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</si>
  <si>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</si>
  <si>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</si>
  <si>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</si>
  <si>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</si>
  <si>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</si>
  <si>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</si>
  <si>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</si>
  <si>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</si>
  <si>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</si>
  <si>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</si>
  <si>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</si>
  <si>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</si>
  <si>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</si>
  <si>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</si>
  <si>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</si>
  <si>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</si>
  <si>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</si>
  <si>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</si>
  <si>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</si>
  <si>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</si>
  <si>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</si>
  <si>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</si>
  <si>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</si>
  <si>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</si>
  <si>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</si>
  <si>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</si>
  <si>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</si>
  <si>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</si>
  <si>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</si>
  <si>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</si>
  <si>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</si>
  <si>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</si>
  <si>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</si>
  <si>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</si>
  <si>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</si>
  <si>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</si>
  <si>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</si>
  <si>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</si>
  <si>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</si>
  <si>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</si>
  <si>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</si>
  <si>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</si>
  <si>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</si>
  <si>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</si>
  <si>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</si>
  <si>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</si>
  <si>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</si>
  <si>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</si>
  <si>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</si>
  <si>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</si>
  <si>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</si>
  <si>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</si>
  <si>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</si>
  <si>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</si>
  <si>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</si>
  <si>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</si>
  <si>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</si>
  <si>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</si>
  <si>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</si>
  <si>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</si>
  <si>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</si>
  <si>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</si>
  <si>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</si>
  <si>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</si>
  <si>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</si>
  <si>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</si>
  <si>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</si>
  <si>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</si>
  <si>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</si>
  <si>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</si>
  <si>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</si>
  <si>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</si>
  <si>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</si>
  <si>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</si>
  <si>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</si>
  <si>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</si>
  <si>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</si>
  <si>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</si>
  <si>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</si>
  <si>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</si>
  <si>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</si>
  <si>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</si>
  <si>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</si>
  <si>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</si>
  <si>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</si>
  <si>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</si>
  <si>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</si>
  <si>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</si>
  <si>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</si>
  <si>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</si>
  <si>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</si>
  <si>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</si>
  <si>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</si>
  <si>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</si>
  <si>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</si>
  <si>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</si>
  <si>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</si>
  <si>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</si>
  <si>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</si>
  <si>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</si>
  <si>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</si>
  <si>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</si>
  <si>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</si>
  <si>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</si>
  <si>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</si>
  <si>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</si>
  <si>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</si>
  <si>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</si>
  <si>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</si>
  <si>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</si>
  <si>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</si>
  <si>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</si>
  <si>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</si>
  <si>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</si>
  <si>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</si>
  <si>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</si>
  <si>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</si>
  <si>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</si>
  <si>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</si>
  <si>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</si>
  <si>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</si>
  <si>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</si>
  <si>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</si>
  <si>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</si>
  <si>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</si>
  <si>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</si>
  <si>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</si>
  <si>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</si>
  <si>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</si>
  <si>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</si>
  <si>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</si>
  <si>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</si>
  <si>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</si>
  <si>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</si>
  <si>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</si>
  <si>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</si>
  <si>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</si>
  <si>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</si>
  <si>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</si>
  <si>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</si>
  <si>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</si>
  <si>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</si>
  <si>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</si>
  <si>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</si>
  <si>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</si>
  <si>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</si>
  <si>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</si>
  <si>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</si>
  <si>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</si>
  <si>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</si>
  <si>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</si>
  <si>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</si>
  <si>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</si>
  <si>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</si>
  <si>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</si>
  <si>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</si>
  <si>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</si>
  <si>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</si>
  <si>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</si>
  <si>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</si>
  <si>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</si>
  <si>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</si>
  <si>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</si>
  <si>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</si>
  <si>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</si>
  <si>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</si>
  <si>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</si>
  <si>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</si>
  <si>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</si>
  <si>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</si>
  <si>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</si>
  <si>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</si>
  <si>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</si>
  <si>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</si>
  <si>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</si>
  <si>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</si>
  <si>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</si>
  <si>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</si>
  <si>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</si>
  <si>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</si>
  <si>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</si>
  <si>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</si>
  <si>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</si>
  <si>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</si>
  <si>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</si>
  <si>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</si>
  <si>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</si>
  <si>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</si>
  <si>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</si>
  <si>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</si>
  <si>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</si>
  <si>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</si>
  <si>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</si>
  <si>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</si>
  <si>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</si>
  <si>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</si>
  <si>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</si>
  <si>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</si>
  <si>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</si>
  <si>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</si>
  <si>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</si>
  <si>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</si>
  <si>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</si>
  <si>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</si>
  <si>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</si>
  <si>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</si>
  <si>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</si>
  <si>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</si>
  <si>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</si>
  <si>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</si>
  <si>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</si>
  <si>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</si>
  <si>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</si>
  <si>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</si>
  <si>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</si>
  <si>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</si>
  <si>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</si>
  <si>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</si>
  <si>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</si>
  <si>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</si>
  <si>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</si>
  <si>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</si>
  <si>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</si>
  <si>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</si>
  <si>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</si>
  <si>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</si>
  <si>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</si>
  <si>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</si>
  <si>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</si>
  <si>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</si>
  <si>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</si>
  <si>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</si>
  <si>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</si>
  <si>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</si>
  <si>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</si>
  <si>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</si>
  <si>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</si>
  <si>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</si>
  <si>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</si>
  <si>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</si>
  <si>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</si>
  <si>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</si>
  <si>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</si>
  <si>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</si>
  <si>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</si>
  <si>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</si>
  <si>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MADRID</t>
  </si>
  <si>
    <t>Provincias</t>
  </si>
  <si>
    <t>Resumenes por Partidos Judiciales</t>
  </si>
  <si>
    <t>SAN LORENZO DE EL ESCORIAL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</si>
</sst>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FpMkt9sMPahPeZp4x0p+LOeS9360hHcm1iLAza3eXvPpKU0xHh5dlwTh8BXQef8YQY/cmSm+St83QTdIl/P/Xg==" saltValue="wK0Q8bQie5iC84Mc+GMxb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15</v>
      </c>
      <c r="F10" s="240">
        <f>IF(ISNUMBER(Datos!K10),Datos!K10," - ")</f>
        <v>15</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0.73333333333333328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29.292018779342726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15</v>
      </c>
      <c r="F14" s="1409">
        <f>SUBTOTAL(9,F9:F13)</f>
        <v>15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822</v>
      </c>
      <c r="D17" s="239">
        <f>IF(ISNUMBER(IF(D_I="SI",Datos!I17,Datos!I17+Datos!AC17)),IF(D_I="SI",Datos!I17,Datos!I17+Datos!AC17)," - ")</f>
        <v>753</v>
      </c>
      <c r="E17" s="240">
        <f>IF(ISNUMBER(IF(D_I="SI",Datos!J17,Datos!J17+Datos!AD17)),IF(D_I="SI",Datos!J17,Datos!J17+Datos!AD17)," - ")</f>
        <v>959</v>
      </c>
      <c r="F17" s="240">
        <f>IF(ISNUMBER(IF(D_I="SI",Datos!K17,Datos!K17+Datos!AE17)),IF(D_I="SI",Datos!K17,Datos!K17+Datos!AE17)," - ")</f>
        <v>1091</v>
      </c>
      <c r="G17" s="1390" t="str">
        <f>IF(Datos!E17&lt;&gt;"",Datos!E17,Datos!D17)</f>
        <v>04</v>
      </c>
      <c r="H17" s="241">
        <f>IF(ISNUMBER(IF(D_I="SI",Datos!L17,Datos!L17+Datos!AF17)),IF(D_I="SI",Datos!L17,Datos!L17+Datos!AF17)," - ")</f>
        <v>690</v>
      </c>
      <c r="I17" s="1400" t="str">
        <f>IF(ISNUMBER(Datos!AS17/Datos!BM17),Datos!AS17/Datos!BM17," - ")</f>
        <v xml:space="preserve"> - </v>
      </c>
      <c r="J17" s="1401">
        <f>IF(ISNUMBER(Datos!BY17/Datos!CN17),Datos!BY17/Datos!CN17," - ")</f>
        <v>0</v>
      </c>
      <c r="K17" s="244">
        <f t="shared" si="3"/>
        <v>-0.16058394160583941</v>
      </c>
      <c r="L17" s="1402">
        <f>IF(ISNUMBER(NºAsuntos!I17/NºAsuntos!G17),(NºAsuntos!I17/NºAsuntos!G17)*11," - ")</f>
        <v>6.9569202566452795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80</v>
      </c>
      <c r="D18" s="239">
        <f>IF(ISNUMBER(IF(D_I="SI",Datos!I18,Datos!I18+Datos!AC18)),IF(D_I="SI",Datos!I18,Datos!I18+Datos!AC18)," - ")</f>
        <v>79</v>
      </c>
      <c r="E18" s="240">
        <f>IF(ISNUMBER(IF(D_I="SI",Datos!J18,Datos!J18+Datos!AD18)),IF(D_I="SI",Datos!J18,Datos!J18+Datos!AD18)," - ")</f>
        <v>70</v>
      </c>
      <c r="F18" s="240">
        <f>IF(ISNUMBER(IF(D_I="SI",Datos!K18,Datos!K18+Datos!AE18)),IF(D_I="SI",Datos!K18,Datos!K18+Datos!AE18)," - ")</f>
        <v>90</v>
      </c>
      <c r="G18" s="1390" t="str">
        <f>IF(Datos!E18&lt;&gt;"",Datos!E18,Datos!D18)</f>
        <v>37</v>
      </c>
      <c r="H18" s="241">
        <f>IF(ISNUMBER(IF(D_I="SI",Datos!L18,Datos!L18+Datos!AF18)),IF(D_I="SI",Datos!L18,Datos!L18+Datos!AF18)," - ")</f>
        <v>60</v>
      </c>
      <c r="I18" s="1400" t="str">
        <f>IF(ISNUMBER(Datos!AS18/Datos!BM18),Datos!AS18/Datos!BM18," - ")</f>
        <v xml:space="preserve"> - </v>
      </c>
      <c r="J18" s="1401" t="str">
        <f>IF(ISNUMBER((Datos!BY18+Datos!BZ18)/Datos!CN18),(Datos!BY18+Datos!BZ18)/Datos!CN18," - ")</f>
        <v xml:space="preserve"> - </v>
      </c>
      <c r="K18" s="244">
        <f t="shared" si="3"/>
        <v>-0.25</v>
      </c>
      <c r="L18" s="1402">
        <f>IF(ISNUMBER(NºAsuntos!I18/NºAsuntos!G18),(NºAsuntos!I18/NºAsuntos!G18)*11," - ")</f>
        <v>7.333333333333333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902</v>
      </c>
      <c r="D23" s="1407">
        <f>SUBTOTAL(9,D16:D22)</f>
        <v>832</v>
      </c>
      <c r="E23" s="1408">
        <f>SUBTOTAL(9,E16:E22)</f>
        <v>1029</v>
      </c>
      <c r="F23" s="1408">
        <f>SUBTOTAL(9,F16:F22)</f>
        <v>1181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903</v>
      </c>
      <c r="D31" s="1435">
        <f>SUBTOTAL(9,D9:D30)</f>
        <v>833</v>
      </c>
      <c r="E31" s="1436">
        <f>SUBTOTAL(9,E9:E30)</f>
        <v>1044</v>
      </c>
      <c r="F31" s="1436">
        <f>SUBTOTAL(9,F9:F30)</f>
        <v>1196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gFZRW00rVbt5DCtKDiOB6kiXuhkWaDJbBiktyslmGmeMRe60Wg59wdmNY6uUIezN5eDq2YFjXHctoAGC5k+0Mg==" saltValue="qZWiby/LmRpt29kFLOWNF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lFnAOnOaOSnvzrbHJWLHJlMUM75SlkeCDgFCIgzUtd+geVMiZmKBB0xc6jKZ4iyNs2PyEzxbGyNawTGo/ohEtA==" saltValue="GsHWP1vxkqZB6a6WBhwjh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15</v>
      </c>
      <c r="K10" s="194">
        <v>15</v>
      </c>
      <c r="L10" s="194">
        <v>1</v>
      </c>
      <c r="M10" s="194">
        <v>4</v>
      </c>
      <c r="N10" s="194">
        <v>7</v>
      </c>
      <c r="O10" s="194">
        <v>5</v>
      </c>
      <c r="P10" s="194">
        <v>3</v>
      </c>
      <c r="Q10" s="194">
        <v>1</v>
      </c>
      <c r="R10" s="194">
        <v>37</v>
      </c>
      <c r="S10" s="194">
        <v>58</v>
      </c>
      <c r="T10" s="194">
        <v>9</v>
      </c>
      <c r="U10" s="194">
        <v>8</v>
      </c>
      <c r="V10" s="194">
        <v>59</v>
      </c>
      <c r="W10" s="194">
        <v>0</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58</v>
      </c>
      <c r="AZ10" s="139">
        <f t="shared" si="0"/>
        <v>9</v>
      </c>
      <c r="BA10" s="139">
        <f t="shared" si="0"/>
        <v>8</v>
      </c>
      <c r="BB10" s="139">
        <f t="shared" si="0"/>
        <v>59</v>
      </c>
      <c r="BC10" s="135">
        <f t="shared" si="0"/>
        <v>0</v>
      </c>
      <c r="BD10" s="136">
        <f>IF(ISNUMBER(BA10/AZ10),BA10/AZ10," - ")</f>
        <v>0.88888888888888884</v>
      </c>
      <c r="BE10" s="137">
        <f>IF(ISNUMBER(BB10/BA10),BB10/BA10, " - ")</f>
        <v>7.375</v>
      </c>
      <c r="BF10" s="137">
        <f>IF(ISNUMBER(BC10/BA10),BC10/BA10, " - ")</f>
        <v>0</v>
      </c>
      <c r="BG10" s="209">
        <f>IF(ISNUMBER((AY10+AZ10)/BA10),(AY10+AZ10)/BA10," - ")</f>
        <v>8.375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2691</v>
      </c>
      <c r="J12" s="196">
        <v>954</v>
      </c>
      <c r="K12" s="196">
        <v>923</v>
      </c>
      <c r="L12" s="196">
        <v>2679</v>
      </c>
      <c r="M12" s="196">
        <v>171</v>
      </c>
      <c r="N12" s="196">
        <v>543</v>
      </c>
      <c r="O12" s="194">
        <v>400</v>
      </c>
      <c r="P12" s="196">
        <v>210</v>
      </c>
      <c r="Q12" s="196">
        <v>240</v>
      </c>
      <c r="R12" s="196">
        <v>3189</v>
      </c>
      <c r="S12" s="196">
        <v>2557</v>
      </c>
      <c r="T12" s="196">
        <v>1039</v>
      </c>
      <c r="U12" s="196">
        <v>1027</v>
      </c>
      <c r="V12" s="196">
        <v>2569</v>
      </c>
      <c r="W12" s="196">
        <v>204</v>
      </c>
      <c r="X12" s="202">
        <v>642</v>
      </c>
      <c r="Y12" s="204">
        <v>124</v>
      </c>
      <c r="Z12" s="194">
        <v>156</v>
      </c>
      <c r="AA12" s="194">
        <v>142</v>
      </c>
      <c r="AB12" s="194">
        <v>157</v>
      </c>
      <c r="AC12" s="196">
        <v>0</v>
      </c>
      <c r="AD12" s="196">
        <v>0</v>
      </c>
      <c r="AE12" s="196">
        <v>0</v>
      </c>
      <c r="AF12" s="202">
        <v>0</v>
      </c>
      <c r="AG12" s="215">
        <v>207</v>
      </c>
      <c r="AH12" s="196">
        <v>163</v>
      </c>
      <c r="AI12" s="196">
        <v>158</v>
      </c>
      <c r="AJ12" s="216">
        <v>212</v>
      </c>
      <c r="AK12" s="195">
        <v>0</v>
      </c>
      <c r="AL12" s="196">
        <v>0</v>
      </c>
      <c r="AM12" s="196">
        <v>0</v>
      </c>
      <c r="AN12" s="202">
        <v>0</v>
      </c>
      <c r="AO12" s="283">
        <v>5</v>
      </c>
      <c r="AP12" s="168">
        <v>5</v>
      </c>
      <c r="AQ12" s="168">
        <v>5</v>
      </c>
      <c r="AR12" s="167">
        <v>5</v>
      </c>
      <c r="AS12" s="381" t="s">
        <v>1075</v>
      </c>
      <c r="AT12" s="216"/>
      <c r="AU12" s="215"/>
      <c r="AV12" s="216"/>
      <c r="AW12" s="215"/>
      <c r="AX12" s="216"/>
      <c r="AY12" s="136">
        <f t="shared" si="1"/>
        <v>2764</v>
      </c>
      <c r="AZ12" s="137">
        <f t="shared" si="1"/>
        <v>1202</v>
      </c>
      <c r="BA12" s="137">
        <f t="shared" si="1"/>
        <v>1185</v>
      </c>
      <c r="BB12" s="137">
        <f t="shared" si="1"/>
        <v>2781</v>
      </c>
      <c r="BC12" s="135">
        <f>IF(ISNUMBER(X12),X12," - ")</f>
        <v>642</v>
      </c>
      <c r="BD12" s="136">
        <f t="shared" si="2"/>
        <v>0.9858569051580699</v>
      </c>
      <c r="BE12" s="137">
        <f t="shared" si="3"/>
        <v>2.3468354430379748</v>
      </c>
      <c r="BF12" s="137">
        <f t="shared" si="4"/>
        <v>0.54177215189873418</v>
      </c>
      <c r="BG12" s="209">
        <f t="shared" si="5"/>
        <v>3.3468354430379748</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2692</v>
      </c>
      <c r="J14" s="197">
        <f t="shared" si="7"/>
        <v>969</v>
      </c>
      <c r="K14" s="197">
        <f t="shared" si="7"/>
        <v>938</v>
      </c>
      <c r="L14" s="197">
        <f t="shared" si="7"/>
        <v>2680</v>
      </c>
      <c r="M14" s="197">
        <f t="shared" si="7"/>
        <v>175</v>
      </c>
      <c r="N14" s="197">
        <f t="shared" si="7"/>
        <v>550</v>
      </c>
      <c r="O14" s="197">
        <f t="shared" si="7"/>
        <v>405</v>
      </c>
      <c r="P14" s="197">
        <f t="shared" si="7"/>
        <v>213</v>
      </c>
      <c r="Q14" s="197">
        <f t="shared" si="7"/>
        <v>241</v>
      </c>
      <c r="R14" s="197">
        <f t="shared" si="7"/>
        <v>3226</v>
      </c>
      <c r="S14" s="197">
        <f t="shared" si="7"/>
        <v>2615</v>
      </c>
      <c r="T14" s="197">
        <f t="shared" si="7"/>
        <v>1048</v>
      </c>
      <c r="U14" s="197">
        <f t="shared" si="7"/>
        <v>1035</v>
      </c>
      <c r="V14" s="197">
        <f t="shared" si="7"/>
        <v>2628</v>
      </c>
      <c r="W14" s="197">
        <f t="shared" si="7"/>
        <v>204</v>
      </c>
      <c r="X14" s="197">
        <f t="shared" si="7"/>
        <v>643</v>
      </c>
      <c r="Y14" s="197">
        <f t="shared" si="7"/>
        <v>124</v>
      </c>
      <c r="Z14" s="197">
        <f t="shared" si="7"/>
        <v>156</v>
      </c>
      <c r="AA14" s="197">
        <f t="shared" si="7"/>
        <v>142</v>
      </c>
      <c r="AB14" s="197">
        <f t="shared" si="7"/>
        <v>157</v>
      </c>
      <c r="AC14" s="197">
        <f t="shared" si="7"/>
        <v>0</v>
      </c>
      <c r="AD14" s="197">
        <f t="shared" si="7"/>
        <v>0</v>
      </c>
      <c r="AE14" s="197">
        <f t="shared" si="7"/>
        <v>0</v>
      </c>
      <c r="AF14" s="197">
        <f>SUBTOTAL(9,AF9:AF13)</f>
        <v>0</v>
      </c>
      <c r="AG14" s="197">
        <f t="shared" ref="AG14:AT14" si="8">SUBTOTAL(9,AG8:AG13)</f>
        <v>207</v>
      </c>
      <c r="AH14" s="197">
        <f t="shared" si="8"/>
        <v>163</v>
      </c>
      <c r="AI14" s="197">
        <f t="shared" si="8"/>
        <v>158</v>
      </c>
      <c r="AJ14" s="197">
        <f t="shared" si="8"/>
        <v>212</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2822</v>
      </c>
      <c r="AZ14" s="197">
        <f>SUBTOTAL(9,AZ8:AZ13)</f>
        <v>1211</v>
      </c>
      <c r="BA14" s="197">
        <f>SUBTOTAL(9,BA8:BA13)</f>
        <v>1193</v>
      </c>
      <c r="BB14" s="197">
        <f>SUBTOTAL(9,BB8:BB13)</f>
        <v>2840</v>
      </c>
      <c r="BC14" s="197">
        <f>SUBTOTAL(9,BC8:BC13)</f>
        <v>642</v>
      </c>
      <c r="BD14" s="219">
        <f>IF(ISNUMBER(BA14/AZ14),BA14/AZ14," - ")</f>
        <v>0.98513625103220481</v>
      </c>
      <c r="BE14" s="220">
        <f>IF(ISNUMBER(BB14/BA14),BB14/BA14, " - ")</f>
        <v>2.380553227158424</v>
      </c>
      <c r="BF14" s="220">
        <f>IF(ISNUMBER(BC14/BA14),BC14/BA14, " - ")</f>
        <v>0.53813914501257332</v>
      </c>
      <c r="BG14" s="221">
        <f>IF(ISNUMBER((AY14+AZ14)/BA14),(AY14+AZ14)/BA14," - ")</f>
        <v>3.380553227158424</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753</v>
      </c>
      <c r="J17" s="196">
        <v>959</v>
      </c>
      <c r="K17" s="196">
        <v>1091</v>
      </c>
      <c r="L17" s="196">
        <v>690</v>
      </c>
      <c r="M17" s="196">
        <v>93</v>
      </c>
      <c r="N17" s="196">
        <v>685</v>
      </c>
      <c r="O17" s="194">
        <v>12</v>
      </c>
      <c r="P17" s="196">
        <v>24</v>
      </c>
      <c r="Q17" s="196">
        <v>14</v>
      </c>
      <c r="R17" s="196">
        <v>85</v>
      </c>
      <c r="S17" s="196">
        <v>784</v>
      </c>
      <c r="T17" s="196">
        <v>710</v>
      </c>
      <c r="U17" s="196">
        <v>745</v>
      </c>
      <c r="V17" s="196">
        <v>789</v>
      </c>
      <c r="W17" s="196">
        <v>61</v>
      </c>
      <c r="X17" s="202">
        <v>419</v>
      </c>
      <c r="Y17" s="215">
        <v>0</v>
      </c>
      <c r="Z17" s="196">
        <v>0</v>
      </c>
      <c r="AA17" s="196">
        <v>0</v>
      </c>
      <c r="AB17" s="196">
        <v>0</v>
      </c>
      <c r="AC17" s="196">
        <v>0</v>
      </c>
      <c r="AD17" s="196">
        <v>0</v>
      </c>
      <c r="AE17" s="196">
        <v>0</v>
      </c>
      <c r="AF17" s="202">
        <v>0</v>
      </c>
      <c r="AG17" s="215">
        <v>0</v>
      </c>
      <c r="AH17" s="196">
        <v>0</v>
      </c>
      <c r="AI17" s="196">
        <v>0</v>
      </c>
      <c r="AJ17" s="216">
        <v>0</v>
      </c>
      <c r="AK17" s="195">
        <v>2</v>
      </c>
      <c r="AL17" s="196">
        <v>4</v>
      </c>
      <c r="AM17" s="196">
        <v>4</v>
      </c>
      <c r="AN17" s="202">
        <v>2</v>
      </c>
      <c r="AO17" s="283">
        <v>5</v>
      </c>
      <c r="AP17" s="168">
        <v>5</v>
      </c>
      <c r="AQ17" s="168">
        <v>5</v>
      </c>
      <c r="AR17" s="168">
        <v>5</v>
      </c>
      <c r="AS17" s="381" t="s">
        <v>650</v>
      </c>
      <c r="AT17" s="216"/>
      <c r="AU17" s="215"/>
      <c r="AV17" s="216"/>
      <c r="AW17" s="215"/>
      <c r="AX17" s="216"/>
      <c r="AY17" s="136">
        <f t="shared" si="10"/>
        <v>784</v>
      </c>
      <c r="AZ17" s="137">
        <f t="shared" si="10"/>
        <v>710</v>
      </c>
      <c r="BA17" s="137">
        <f t="shared" si="10"/>
        <v>745</v>
      </c>
      <c r="BB17" s="137">
        <f t="shared" si="10"/>
        <v>789</v>
      </c>
      <c r="BC17" s="135">
        <f>IF(ISNUMBER(W17),W17," - ")</f>
        <v>61</v>
      </c>
      <c r="BD17" s="136">
        <f t="shared" ref="BD17:BD22" si="12">IF(ISNUMBER(BA17/AZ17),BA17/AZ17," - ")</f>
        <v>1.0492957746478873</v>
      </c>
      <c r="BE17" s="137">
        <f t="shared" ref="BE17:BE22" si="13">IF(ISNUMBER(BB17/BA17),BB17/BA17, " - ")</f>
        <v>1.0590604026845638</v>
      </c>
      <c r="BF17" s="137">
        <f t="shared" ref="BF17:BF22" si="14">IF(ISNUMBER(BC17/BA17),BC17/BA17, " - ")</f>
        <v>8.1879194630872482E-2</v>
      </c>
      <c r="BG17" s="209">
        <f t="shared" si="11"/>
        <v>2.0053691275167784</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79</v>
      </c>
      <c r="J18" s="196">
        <v>70</v>
      </c>
      <c r="K18" s="196">
        <v>90</v>
      </c>
      <c r="L18" s="196">
        <v>60</v>
      </c>
      <c r="M18" s="196">
        <v>13</v>
      </c>
      <c r="N18" s="196">
        <v>38</v>
      </c>
      <c r="O18" s="196">
        <v>0</v>
      </c>
      <c r="P18" s="196">
        <v>1</v>
      </c>
      <c r="Q18" s="196">
        <v>0</v>
      </c>
      <c r="R18" s="196">
        <v>3</v>
      </c>
      <c r="S18" s="196">
        <v>84</v>
      </c>
      <c r="T18" s="196">
        <v>77</v>
      </c>
      <c r="U18" s="196">
        <v>68</v>
      </c>
      <c r="V18" s="196">
        <v>93</v>
      </c>
      <c r="W18" s="196">
        <v>5</v>
      </c>
      <c r="X18" s="202">
        <v>53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84</v>
      </c>
      <c r="AZ18" s="139">
        <f t="shared" si="15"/>
        <v>77</v>
      </c>
      <c r="BA18" s="139">
        <f t="shared" si="15"/>
        <v>68</v>
      </c>
      <c r="BB18" s="139">
        <f t="shared" si="15"/>
        <v>93</v>
      </c>
      <c r="BC18" s="135">
        <f>IF(ISNUMBER(W18),W18," - ")</f>
        <v>5</v>
      </c>
      <c r="BD18" s="136">
        <f>IF(ISNUMBER(BA18/AZ18),BA18/AZ18," - ")</f>
        <v>0.88311688311688308</v>
      </c>
      <c r="BE18" s="137">
        <f>IF(ISNUMBER(BB18/BA18),BB18/BA18, " - ")</f>
        <v>1.3676470588235294</v>
      </c>
      <c r="BF18" s="137">
        <f>IF(ISNUMBER(BC18/BA18),BC18/BA18, " - ")</f>
        <v>7.3529411764705885E-2</v>
      </c>
      <c r="BG18" s="209">
        <f>IF(ISNUMBER((AY18+AZ18)/BA18),(AY18+AZ18)/BA18," - ")</f>
        <v>2.3676470588235294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832</v>
      </c>
      <c r="J23" s="197">
        <f t="shared" si="21"/>
        <v>1029</v>
      </c>
      <c r="K23" s="197">
        <f t="shared" si="21"/>
        <v>1181</v>
      </c>
      <c r="L23" s="197">
        <f t="shared" si="21"/>
        <v>750</v>
      </c>
      <c r="M23" s="197">
        <f t="shared" si="21"/>
        <v>106</v>
      </c>
      <c r="N23" s="197">
        <f t="shared" si="21"/>
        <v>723</v>
      </c>
      <c r="O23" s="197">
        <f t="shared" si="21"/>
        <v>12</v>
      </c>
      <c r="P23" s="197">
        <f t="shared" si="21"/>
        <v>25</v>
      </c>
      <c r="Q23" s="197">
        <f t="shared" si="21"/>
        <v>14</v>
      </c>
      <c r="R23" s="197">
        <f t="shared" si="21"/>
        <v>88</v>
      </c>
      <c r="S23" s="197">
        <f t="shared" si="21"/>
        <v>868</v>
      </c>
      <c r="T23" s="197">
        <f t="shared" si="21"/>
        <v>787</v>
      </c>
      <c r="U23" s="197">
        <f t="shared" si="21"/>
        <v>813</v>
      </c>
      <c r="V23" s="197">
        <f t="shared" si="21"/>
        <v>882</v>
      </c>
      <c r="W23" s="197">
        <f t="shared" si="21"/>
        <v>66</v>
      </c>
      <c r="X23" s="197">
        <f t="shared" si="21"/>
        <v>472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2</v>
      </c>
      <c r="AL23" s="197">
        <f t="shared" si="21"/>
        <v>4</v>
      </c>
      <c r="AM23" s="197">
        <f t="shared" si="21"/>
        <v>4</v>
      </c>
      <c r="AN23" s="197">
        <f t="shared" si="21"/>
        <v>2</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868</v>
      </c>
      <c r="AZ23" s="197">
        <f>SUBTOTAL(9,AZ15:AZ22)</f>
        <v>787</v>
      </c>
      <c r="BA23" s="197">
        <f>SUBTOTAL(9,BA15:BA22)</f>
        <v>813</v>
      </c>
      <c r="BB23" s="197">
        <f>SUBTOTAL(9,BB15:BB22)</f>
        <v>882</v>
      </c>
      <c r="BC23" s="197">
        <f>SUBTOTAL(9,BC15:BC22)</f>
        <v>66</v>
      </c>
      <c r="BD23" s="219">
        <f>IF(ISNUMBER(BA23/AZ23),BA23/AZ23," - ")</f>
        <v>1.0330368487928843</v>
      </c>
      <c r="BE23" s="220">
        <f>IF(ISNUMBER(BB23/BA23),BB23/BA23, " - ")</f>
        <v>1.084870848708487</v>
      </c>
      <c r="BF23" s="220">
        <f>IF(ISNUMBER(BC23/BA23),BC23/BA23, " - ")</f>
        <v>8.1180811808118078E-2</v>
      </c>
      <c r="BG23" s="221">
        <f>IF(ISNUMBER((AY23+AZ23)/BA23),(AY23+AZ23)/BA23," - ")</f>
        <v>2.0356703567035672</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3524</v>
      </c>
      <c r="J31" s="144">
        <f t="shared" si="36"/>
        <v>1998</v>
      </c>
      <c r="K31" s="144">
        <f t="shared" si="36"/>
        <v>2119</v>
      </c>
      <c r="L31" s="144">
        <f t="shared" si="36"/>
        <v>3430</v>
      </c>
      <c r="M31" s="144">
        <f t="shared" si="36"/>
        <v>281</v>
      </c>
      <c r="N31" s="144">
        <f t="shared" si="36"/>
        <v>1273</v>
      </c>
      <c r="O31" s="144">
        <f t="shared" si="36"/>
        <v>417</v>
      </c>
      <c r="P31" s="144">
        <f t="shared" si="36"/>
        <v>238</v>
      </c>
      <c r="Q31" s="144">
        <f t="shared" si="36"/>
        <v>255</v>
      </c>
      <c r="R31" s="144">
        <f t="shared" si="36"/>
        <v>3314</v>
      </c>
      <c r="S31" s="144">
        <f t="shared" si="36"/>
        <v>3483</v>
      </c>
      <c r="T31" s="144">
        <f t="shared" si="36"/>
        <v>1835</v>
      </c>
      <c r="U31" s="144">
        <f t="shared" si="36"/>
        <v>1848</v>
      </c>
      <c r="V31" s="144">
        <f t="shared" si="36"/>
        <v>3510</v>
      </c>
      <c r="W31" s="144">
        <f t="shared" si="36"/>
        <v>270</v>
      </c>
      <c r="X31" s="144">
        <f t="shared" si="36"/>
        <v>1115</v>
      </c>
      <c r="Y31" s="144">
        <f t="shared" si="36"/>
        <v>124</v>
      </c>
      <c r="Z31" s="144">
        <f t="shared" si="36"/>
        <v>156</v>
      </c>
      <c r="AA31" s="144">
        <f t="shared" si="36"/>
        <v>142</v>
      </c>
      <c r="AB31" s="144">
        <f t="shared" si="36"/>
        <v>157</v>
      </c>
      <c r="AC31" s="144">
        <f t="shared" si="36"/>
        <v>0</v>
      </c>
      <c r="AD31" s="144">
        <f t="shared" si="36"/>
        <v>0</v>
      </c>
      <c r="AE31" s="144">
        <f t="shared" si="36"/>
        <v>0</v>
      </c>
      <c r="AF31" s="144">
        <f t="shared" si="36"/>
        <v>0</v>
      </c>
      <c r="AG31" s="144">
        <f t="shared" si="36"/>
        <v>207</v>
      </c>
      <c r="AH31" s="144">
        <f t="shared" si="36"/>
        <v>163</v>
      </c>
      <c r="AI31" s="144">
        <f t="shared" si="36"/>
        <v>158</v>
      </c>
      <c r="AJ31" s="144">
        <f t="shared" si="36"/>
        <v>212</v>
      </c>
      <c r="AK31" s="144">
        <f t="shared" si="36"/>
        <v>2</v>
      </c>
      <c r="AL31" s="144">
        <f t="shared" si="36"/>
        <v>4</v>
      </c>
      <c r="AM31" s="144">
        <f t="shared" si="36"/>
        <v>4</v>
      </c>
      <c r="AN31" s="224">
        <f t="shared" si="36"/>
        <v>2</v>
      </c>
      <c r="AO31" s="225">
        <v>6</v>
      </c>
      <c r="AP31" s="225">
        <v>5</v>
      </c>
      <c r="AQ31" s="225">
        <v>5</v>
      </c>
      <c r="AR31" s="225">
        <v>5</v>
      </c>
      <c r="AS31" s="166">
        <f t="shared" si="36"/>
        <v>0</v>
      </c>
      <c r="AT31" s="166">
        <f t="shared" si="36"/>
        <v>0</v>
      </c>
      <c r="AU31" s="225"/>
      <c r="AV31" s="226"/>
      <c r="AW31" s="225"/>
      <c r="AX31" s="226"/>
      <c r="AY31" s="143">
        <f>SUBTOTAL(9,AY9:AY30)</f>
        <v>3690</v>
      </c>
      <c r="AZ31" s="144">
        <f>SUBTOTAL(9,AZ9:AZ30)</f>
        <v>1998</v>
      </c>
      <c r="BA31" s="144">
        <f>SUBTOTAL(9,BA9:BA30)</f>
        <v>2006</v>
      </c>
      <c r="BB31" s="144">
        <f>SUBTOTAL(9,BB9:BB30)</f>
        <v>3722</v>
      </c>
      <c r="BC31" s="145">
        <f>SUBTOTAL(9,BC9:BC30)</f>
        <v>708</v>
      </c>
      <c r="BD31" s="227">
        <f>IF(ISNUMBER(BA31/AZ31),BA31/AZ31," - ")</f>
        <v>1.0040040040040039</v>
      </c>
      <c r="BE31" s="224">
        <f>IF(ISNUMBER(BB31/BA31),BB31/BA31, " - ")</f>
        <v>1.8554336989032902</v>
      </c>
      <c r="BF31" s="224">
        <f>IF(ISNUMBER(BC31/BA31),BC31/BA31, " - ")</f>
        <v>0.35294117647058826</v>
      </c>
      <c r="BG31" s="145">
        <f>IF(ISNUMBER((AY31+AZ31)/BA31),(AY31+AZ31)/BA31," - ")</f>
        <v>2.835493519441675</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48HAlM/p5s21yVCCluUI0zWKQAcs4hYzEG44gh2X9eNovQWVsz7I/Pr7yQIlqGpkVh08oAZYl1OXWwbXwyeJw==" saltValue="12wQGiN2nPEU8DghetzKc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YjhZShCGr268QySXJiG9MKI/xbB5LTupBIPAul26+7aiZg1vY4uzV3A3cVSBByybLwFdZkvv0P+Q8NA/j5R0w==" saltValue="sJaRzEhBw5IhbnxjkSdvr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SAN LORENZO DE EL ESCORIAL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15</v>
      </c>
      <c r="AC10" s="547">
        <f>IF(ISNUMBER(Datos!Q10),Datos!Q10," - ")</f>
        <v>1</v>
      </c>
      <c r="AD10" s="549"/>
      <c r="AE10" s="563"/>
      <c r="AF10" s="551">
        <f>IF(ISNUMBER(Datos!L10),Datos!L10,"-")</f>
        <v>1</v>
      </c>
      <c r="AG10" s="549"/>
      <c r="AH10" s="549"/>
      <c r="AI10" s="549"/>
      <c r="AJ10" s="549"/>
      <c r="AK10" s="549"/>
      <c r="AL10" s="550"/>
      <c r="AM10" s="766">
        <f>IF(ISNUMBER(Datos!R10),Datos!R10," - ")</f>
        <v>37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7</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0.19999999999999998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5.7142857142857141E-2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156</v>
      </c>
      <c r="O12" s="549"/>
      <c r="P12" s="549"/>
      <c r="Q12" s="547">
        <f>IF(ISNUMBER(Datos!P12),Datos!P12,0)</f>
        <v>210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240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157</v>
      </c>
      <c r="AI12" s="549" t="str">
        <f>IF(ISNUMBER(Datos!CD12),Datos!CD12,"-")</f>
        <v>-</v>
      </c>
      <c r="AJ12" s="549" t="str">
        <f>IF(ISNUMBER(Datos!EN12),Datos!EN12," - ")</f>
        <v xml:space="preserve"> - </v>
      </c>
      <c r="AK12" s="549"/>
      <c r="AL12" s="550"/>
      <c r="AM12" s="766">
        <f>IF(ISNUMBER(Datos!R12),Datos!R12," - ")</f>
        <v>3189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171</v>
      </c>
      <c r="BD12" s="693">
        <f>IF(ISNUMBER(Datos!N12),Datos!N12," - ")</f>
        <v>543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0.95945945945945943</v>
      </c>
      <c r="BH12" s="764">
        <f>IF(ISNUMBER(((IF(J_V="SI",Datos!L12/Datos!K12,(Datos!L12+Datos!AB12)/(Datos!K12+Datos!AA12)))*11)/factor_trimestre),((IF(J_V="SI",Datos!L12/Datos!K12,(Datos!L12+Datos!AB12)/(Datos!K12+Datos!AA12)))*11)/factor_trimestre," - ")</f>
        <v>7.9887323943661981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-9.3196644920782844E-3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156</v>
      </c>
      <c r="O14" s="1199">
        <f t="shared" si="1"/>
        <v>0</v>
      </c>
      <c r="P14" s="1199">
        <f t="shared" si="1"/>
        <v>0</v>
      </c>
      <c r="Q14" s="1198">
        <f t="shared" si="1"/>
        <v>213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15</v>
      </c>
      <c r="AC14" s="1198">
        <f t="shared" si="2"/>
        <v>241</v>
      </c>
      <c r="AD14" s="1198">
        <f t="shared" si="2"/>
        <v>0</v>
      </c>
      <c r="AE14" s="1198">
        <f t="shared" si="2"/>
        <v>0</v>
      </c>
      <c r="AF14" s="1198">
        <f t="shared" si="2"/>
        <v>1</v>
      </c>
      <c r="AG14" s="1198">
        <f t="shared" si="2"/>
        <v>0</v>
      </c>
      <c r="AH14" s="1198">
        <f t="shared" si="2"/>
        <v>157</v>
      </c>
      <c r="AI14" s="1198">
        <f t="shared" si="2"/>
        <v>0</v>
      </c>
      <c r="AJ14" s="1198">
        <f t="shared" si="2"/>
        <v>0</v>
      </c>
      <c r="AK14" s="1198">
        <f t="shared" si="2"/>
        <v>0</v>
      </c>
      <c r="AL14" s="1198">
        <f t="shared" si="2"/>
        <v>0</v>
      </c>
      <c r="AM14" s="1198">
        <f t="shared" si="2"/>
        <v>3226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175</v>
      </c>
      <c r="BD14" s="1198">
        <f t="shared" si="2"/>
        <v>550</v>
      </c>
      <c r="BE14" s="1198">
        <f t="shared" si="2"/>
        <v>0</v>
      </c>
      <c r="BF14" s="1198">
        <f t="shared" si="2"/>
        <v>0</v>
      </c>
      <c r="BG14" s="1198">
        <f>IF(ISNUMBER(Datos!K14/Datos!J14),Datos!K14/Datos!J14," - ")</f>
        <v>0.96800825593395257</v>
      </c>
      <c r="BH14" s="1202">
        <f>IF(ISNUMBER(((Datos!L14/Datos!K14)*11)/factor_trimestre),((Datos!L14/Datos!K14)*11)/factor_trimestre," - ")</f>
        <v>8.571428571428573</v>
      </c>
      <c r="BI14" s="1198">
        <f>IF(ISNUMBER('Resol  Asuntos'!D14/NºAsuntos!G14),'Resol  Asuntos'!D14/NºAsuntos!G14," - ")</f>
        <v>0.16203703703703703</v>
      </c>
      <c r="BJ14" s="1198" t="str">
        <f>IF(ISNUMBER(Datos!CI14/Datos!CJ14),Datos!CI14/Datos!CJ14," - ")</f>
        <v xml:space="preserve"> - </v>
      </c>
      <c r="BK14" s="1198">
        <f>SUBTOTAL(9,BK8:BK13)</f>
        <v>0</v>
      </c>
      <c r="BL14" s="1198">
        <f>IF(ISNUMBER((I14-AB14+L14)/(F14)),(I14-AB14+L14)/(F14)," - ")</f>
        <v>-15</v>
      </c>
      <c r="BM14" s="1203">
        <f>SUBTOTAL(9,BM9:BM13)</f>
        <v>4.7823192650778855E-2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822</v>
      </c>
      <c r="G17" s="743">
        <f>IF(ISNUMBER(IF(D_I="SI",Datos!I17,Datos!I17+Datos!AC17)),IF(D_I="SI",Datos!I17,Datos!I17+Datos!AC17)," - ")</f>
        <v>753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1091</v>
      </c>
      <c r="AC17" s="240">
        <f>IF(ISNUMBER(Datos!Q17),Datos!Q17," - ")</f>
        <v>14</v>
      </c>
      <c r="AD17" s="374"/>
      <c r="AE17" s="562"/>
      <c r="AF17" s="741">
        <f>IF(ISNUMBER(IF(D_I="SI",Datos!L17,Datos!L17+Datos!AF17)),IF(D_I="SI",Datos!L17,Datos!L17+Datos!AF17)," - ")</f>
        <v>690</v>
      </c>
      <c r="AG17" s="374"/>
      <c r="AH17" s="374"/>
      <c r="AI17" s="374"/>
      <c r="AJ17" s="549"/>
      <c r="AK17" s="374"/>
      <c r="AL17" s="545"/>
      <c r="AM17" s="375">
        <f>IF(ISNUMBER(Datos!R17),Datos!R17," - ")</f>
        <v>85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93</v>
      </c>
      <c r="BD17" s="243">
        <f>IF(ISNUMBER(Datos!N17),Datos!N17," - ")</f>
        <v>685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1.137643378519291</v>
      </c>
      <c r="BH17" s="764">
        <f>IF(ISNUMBER(((IF(D_I="SI",Datos!L17/Datos!K17,(Datos!L17+Datos!AF17)/(Datos!K17+Datos!AE17)))*11)/factor_trimestre),((IF(D_I="SI",Datos!L17/Datos!K17,(Datos!L17+Datos!AF17)/(Datos!K17+Datos!AE17)))*11)/factor_trimestre," - ")</f>
        <v>1.8973418881759854</v>
      </c>
      <c r="BI17" s="266">
        <f>IF(ISNUMBER('Resol  Asuntos'!D17/NºAsuntos!G17),'Resol  Asuntos'!D17/NºAsuntos!G17," - ")</f>
        <v>8.5242896425297893E-2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90</v>
      </c>
      <c r="AC18" s="547">
        <f>IF(ISNUMBER(Datos!Q18),Datos!Q18," - ")</f>
        <v>0</v>
      </c>
      <c r="AD18" s="549"/>
      <c r="AE18" s="562"/>
      <c r="AF18" s="551">
        <f>IF(ISNUMBER(Datos!L18),Datos!L18,"-")</f>
        <v>60</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13</v>
      </c>
      <c r="BD18" s="693">
        <f>IF(ISNUMBER(Datos!N18),Datos!N18," - ")</f>
        <v>38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1.2857142857142858</v>
      </c>
      <c r="BH18" s="764">
        <f>IF(ISNUMBER(((IF(D_I="SI",Datos!L18/Datos!K18,(Datos!L18+Datos!AF18)/(Datos!K18+Datos!AE18)))*11)/factor_trimestre),((IF(D_I="SI",Datos!L18/Datos!K18,(Datos!L18+Datos!AF18)/(Datos!K18+Datos!AE18)))*11)/factor_trimestre," - ")</f>
        <v>2</v>
      </c>
      <c r="BI18" s="763">
        <f>IF(ISNUMBER('Resol  Asuntos'!D18/NºAsuntos!G18),'Resol  Asuntos'!D18/NºAsuntos!G18," - ")</f>
        <v>0.14444444444444443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822</v>
      </c>
      <c r="G23" s="1197">
        <f>SUBTOTAL(9,G16:G22)</f>
        <v>832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1181</v>
      </c>
      <c r="AC23" s="1198">
        <f t="shared" si="5"/>
        <v>14</v>
      </c>
      <c r="AD23" s="1198">
        <f t="shared" si="5"/>
        <v>0</v>
      </c>
      <c r="AE23" s="1198">
        <f t="shared" si="5"/>
        <v>0</v>
      </c>
      <c r="AF23" s="1198">
        <f t="shared" si="5"/>
        <v>750</v>
      </c>
      <c r="AG23" s="1198">
        <f t="shared" si="5"/>
        <v>0</v>
      </c>
      <c r="AH23" s="1198">
        <f t="shared" si="5"/>
        <v>0</v>
      </c>
      <c r="AI23" s="1198">
        <f t="shared" si="5"/>
        <v>0</v>
      </c>
      <c r="AJ23" s="1198">
        <f t="shared" si="5"/>
        <v>0</v>
      </c>
      <c r="AK23" s="1198">
        <f t="shared" si="5"/>
        <v>0</v>
      </c>
      <c r="AL23" s="1198">
        <f t="shared" si="5"/>
        <v>0</v>
      </c>
      <c r="AM23" s="1198">
        <f t="shared" si="5"/>
        <v>88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106</v>
      </c>
      <c r="BD23" s="1198">
        <f t="shared" si="5"/>
        <v>723</v>
      </c>
      <c r="BE23" s="1198">
        <f t="shared" si="5"/>
        <v>0</v>
      </c>
      <c r="BF23" s="1198">
        <f t="shared" si="5"/>
        <v>0</v>
      </c>
      <c r="BG23" s="1198">
        <f>IF(ISNUMBER(Datos!K23/Datos!J23),Datos!K23/Datos!J23," - ")</f>
        <v>1.1477162293488825</v>
      </c>
      <c r="BH23" s="1202">
        <f>IF(ISNUMBER(((Datos!L23/Datos!K23)*11)/factor_trimestre),((Datos!L23/Datos!K23)*11)/factor_trimestre," - ")</f>
        <v>1.9051651143099069</v>
      </c>
      <c r="BI23" s="1198">
        <f>SUBTOTAL(9,BI16:BI22)</f>
        <v>0.22968734086974232</v>
      </c>
      <c r="BJ23" s="1198">
        <f>SUBTOTAL(9,BJ16:BJ22)</f>
        <v>0</v>
      </c>
      <c r="BK23" s="1198">
        <f>SUBTOTAL(9,BK16:BK22)</f>
        <v>0</v>
      </c>
      <c r="BL23" s="1198">
        <f>IF(ISNUMBER((I23-AB23+L23)/(F23)),(I23-AB23+L23)/(F23)," - ")</f>
        <v>-1.4367396593673967</v>
      </c>
      <c r="BM23" s="1205">
        <f>IF(ISNUMBER((Datos!P23-Datos!Q23)/(Datos!R23-Datos!P23+Datos!Q23)),(Datos!P23-Datos!Q23)/(Datos!R23-Datos!P23+Datos!Q23)," - ")</f>
        <v>0.14285714285714285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v>
      </c>
      <c r="F31" s="1117">
        <f t="shared" si="18"/>
        <v>823</v>
      </c>
      <c r="G31" s="1117">
        <f t="shared" si="18"/>
        <v>833</v>
      </c>
      <c r="H31" s="1119">
        <f t="shared" si="18"/>
        <v>0</v>
      </c>
      <c r="I31" s="1117">
        <f t="shared" si="18"/>
        <v>0</v>
      </c>
      <c r="J31" s="1119">
        <f t="shared" si="18"/>
        <v>0</v>
      </c>
      <c r="K31" s="1119">
        <f t="shared" si="18"/>
        <v>0</v>
      </c>
      <c r="L31" s="1180">
        <f t="shared" si="18"/>
        <v>0</v>
      </c>
      <c r="M31" s="1180">
        <f t="shared" si="18"/>
        <v>0</v>
      </c>
      <c r="N31" s="1180">
        <f t="shared" si="18"/>
        <v>156</v>
      </c>
      <c r="O31" s="1180">
        <f t="shared" si="18"/>
        <v>0</v>
      </c>
      <c r="P31" s="1180">
        <f t="shared" si="18"/>
        <v>0</v>
      </c>
      <c r="Q31" s="1119">
        <f t="shared" si="18"/>
        <v>238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1196</v>
      </c>
      <c r="AC31" s="1118">
        <f t="shared" si="19"/>
        <v>255</v>
      </c>
      <c r="AD31" s="1118">
        <f t="shared" si="19"/>
        <v>0</v>
      </c>
      <c r="AE31" s="1118">
        <f t="shared" si="19"/>
        <v>0</v>
      </c>
      <c r="AF31" s="1125">
        <f t="shared" si="19"/>
        <v>751</v>
      </c>
      <c r="AG31" s="1125">
        <f t="shared" si="19"/>
        <v>0</v>
      </c>
      <c r="AH31" s="1125">
        <f t="shared" si="19"/>
        <v>157</v>
      </c>
      <c r="AI31" s="1125">
        <f t="shared" si="19"/>
        <v>0</v>
      </c>
      <c r="AJ31" s="1118">
        <f t="shared" si="19"/>
        <v>0</v>
      </c>
      <c r="AK31" s="1125">
        <f t="shared" si="19"/>
        <v>0</v>
      </c>
      <c r="AL31" s="1125">
        <f t="shared" si="19"/>
        <v>0</v>
      </c>
      <c r="AM31" s="1125">
        <f t="shared" si="19"/>
        <v>3314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281</v>
      </c>
      <c r="BD31" s="1117">
        <f t="shared" si="19"/>
        <v>1273</v>
      </c>
      <c r="BE31" s="1117">
        <f t="shared" si="19"/>
        <v>0</v>
      </c>
      <c r="BF31" s="1127">
        <f t="shared" si="19"/>
        <v>0</v>
      </c>
      <c r="BG31" s="1223">
        <f>IF(ISNUMBER(Datos!K31/Datos!J31),Datos!K31/Datos!J31," - ")</f>
        <v>1.0605605605605606</v>
      </c>
      <c r="BH31" s="1223">
        <f>IF(ISNUMBER(((Datos!L31/Datos!K31)*11)/factor_trimestre),((Datos!L31/Datos!K31)*11)/factor_trimestre," - ")</f>
        <v>4.8560641812175556</v>
      </c>
      <c r="BI31" s="1103">
        <f>IF(ISNUMBER(Datos!J31/Datos!I31),Datos!J31/Datos!I31," - ")</f>
        <v>0.56696935300794549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-1.4532199270959902</v>
      </c>
      <c r="BM31" s="1188">
        <f>IF(ISNUMBER((Datos!P31-Datos!Q31+R31)/(Datos!R31-Datos!P31+Datos!Q31-R31)),(Datos!P31-Datos!Q31+R31)/(Datos!R31-Datos!P31+Datos!Q31-R31)," - ")</f>
        <v>-5.103572500750525E-3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238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424.22101158083467</v>
      </c>
      <c r="G33" s="674">
        <f>IF(ISNUMBER(STDEV(G8:G30)),STDEV(G8:G30),"-")</f>
        <v>380.56274121358751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544.09120383924426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76.022083257808333</v>
      </c>
      <c r="BD33" s="673"/>
      <c r="BE33" s="673">
        <f>IF(ISNUMBER(STDEV(BE8:BE30)),STDEV(BE8:BE30),"-")</f>
        <v>0</v>
      </c>
      <c r="BF33" s="678">
        <f>IF(ISNUMBER(STDEV(BF8:BF30)),STDEV(BF8:BF30),"-")</f>
        <v>0</v>
      </c>
      <c r="BG33" s="1052">
        <f>IF(ISNUMBER(STDEV(BG8:BG30)),STDEV(BG8:BG30),"-")</f>
        <v>0.12933792039471209</v>
      </c>
      <c r="BH33" s="1058">
        <f>IF(ISNUMBER(STDEV(BH8:BH30)),STDEV(BH8:BH30),"-")</f>
        <v>3.5696814723304255</v>
      </c>
      <c r="BI33" s="273">
        <f>IF(ISNUMBER(STDEV(BI8:BI30)),STDEV(BI8:BI30),"-")</f>
        <v>5.9455007614149832E-2</v>
      </c>
      <c r="BJ33" s="244" t="str">
        <f>IF(ISNUMBER(BL33/BM33),BL33/BM33," - ")</f>
        <v xml:space="preserve"> - </v>
      </c>
      <c r="BK33" s="709"/>
      <c r="BL33" s="681">
        <f>IF(ISNUMBER(STDEV(BL8:BL30)),STDEV(BL8:BL30),"-")</f>
        <v>9.5906733618598761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uLpduisQEQpOUs8QnWzd3/YAtRghUgLNie4WD7vR8cSGYniUbwpzxJmUhwSFABFUv1nzacvz7wSzB7mzLsXS3A==" saltValue="mtd/UqzLJZpjxDZSl7HwX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SAN LORENZO DE EL ESCORIAL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15</v>
      </c>
      <c r="Z10" s="805">
        <f>IF(ISNUMBER(Datos!Q10),Datos!Q10," - ")</f>
        <v>1</v>
      </c>
      <c r="AA10" s="551">
        <f>IF(ISNUMBER(Datos!L10),Datos!L10,"-")</f>
        <v>1</v>
      </c>
      <c r="AB10" s="549"/>
      <c r="AC10" s="549"/>
      <c r="AD10" s="563"/>
      <c r="AE10" s="563">
        <f>IF(ISNUMBER(Datos!R10),Datos!R10," - ")</f>
        <v>37</v>
      </c>
      <c r="AF10" s="693" t="str">
        <f>IF(ISNUMBER(Datos!BV10),Datos!BV10," - ")</f>
        <v xml:space="preserve"> - </v>
      </c>
      <c r="AG10" s="552" t="str">
        <f>IF(ISNUMBER(Datos!DV10),Datos!DV10," - ")</f>
        <v xml:space="preserve"> - </v>
      </c>
      <c r="AH10" s="553"/>
      <c r="AI10" s="554"/>
      <c r="AJ10" s="552">
        <f>IF(ISNUMBER(Datos!M10),Datos!M10," - ")</f>
        <v>4</v>
      </c>
      <c r="AK10" s="693">
        <f>IF(ISNUMBER(Datos!N10),Datos!N10," - ")</f>
        <v>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0.19999999999999998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5.7142857142857141E-2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210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240</v>
      </c>
      <c r="AA12" s="551" t="str">
        <f>IF(ISNUMBER(IF(J_V="SI",Datos!L12,Datos!L12+Datos!AB12)-IF(Monitorios="SI",Datos!CD12,0)),
                          IF(J_V="SI",Datos!L12,Datos!L12+Datos!AB12)-IF(Monitorios="SI",Datos!CD12,0),
                          " - ")</f>
        <v xml:space="preserve"> - </v>
      </c>
      <c r="AB12" s="549"/>
      <c r="AC12" s="549"/>
      <c r="AD12" s="563"/>
      <c r="AE12" s="563">
        <f>IF(ISNUMBER(Datos!R12),Datos!R12," - ")</f>
        <v>3189</v>
      </c>
      <c r="AF12" s="693" t="str">
        <f>IF(ISNUMBER(Datos!BV12),Datos!BV12," - ")</f>
        <v xml:space="preserve"> - </v>
      </c>
      <c r="AG12" s="552" t="str">
        <f>IF(ISNUMBER(Datos!DV12),Datos!DV12," - ")</f>
        <v xml:space="preserve"> - </v>
      </c>
      <c r="AH12" s="553"/>
      <c r="AI12" s="554"/>
      <c r="AJ12" s="552">
        <f>IF(ISNUMBER(Datos!M12),Datos!M12," - ")</f>
        <v>171</v>
      </c>
      <c r="AK12" s="693">
        <f>IF(ISNUMBER(Datos!N12),Datos!N12," - ")</f>
        <v>543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7.9887323943661981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-9.3196644920782844E-3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213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15</v>
      </c>
      <c r="Z14" s="1210">
        <f t="shared" si="3"/>
        <v>241</v>
      </c>
      <c r="AA14" s="1199">
        <f t="shared" si="3"/>
        <v>1</v>
      </c>
      <c r="AB14" s="1199">
        <f t="shared" si="3"/>
        <v>0</v>
      </c>
      <c r="AC14" s="1199">
        <f t="shared" si="3"/>
        <v>0</v>
      </c>
      <c r="AD14" s="1199">
        <f t="shared" si="3"/>
        <v>0</v>
      </c>
      <c r="AE14" s="1199">
        <f t="shared" si="3"/>
        <v>3226</v>
      </c>
      <c r="AF14" s="1211">
        <f t="shared" si="3"/>
        <v>0</v>
      </c>
      <c r="AG14" s="1211">
        <f t="shared" si="3"/>
        <v>0</v>
      </c>
      <c r="AH14" s="1211">
        <f t="shared" si="3"/>
        <v>0</v>
      </c>
      <c r="AI14" s="1211">
        <f t="shared" si="3"/>
        <v>0</v>
      </c>
      <c r="AJ14" s="1211">
        <f t="shared" si="3"/>
        <v>175</v>
      </c>
      <c r="AK14" s="1211">
        <f t="shared" si="3"/>
        <v>550</v>
      </c>
      <c r="AL14" s="1211">
        <f t="shared" si="3"/>
        <v>0</v>
      </c>
      <c r="AM14" s="1211">
        <f t="shared" si="3"/>
        <v>0</v>
      </c>
      <c r="AN14" s="1211">
        <f t="shared" si="3"/>
        <v>0</v>
      </c>
      <c r="AO14" s="1203">
        <f>IF(ISNUMBER(((NºAsuntos!I14/NºAsuntos!G14)*11)/factor_trimestre),((NºAsuntos!I14/NºAsuntos!G14)*11)/factor_trimestre," - ")</f>
        <v>7.8805555555555564</v>
      </c>
      <c r="AP14" s="1213" t="str">
        <f>IF(ISNUMBER(Datos!CI14/Datos!CJ14),Datos!CI14/Datos!CJ14," - ")</f>
        <v xml:space="preserve"> - </v>
      </c>
      <c r="AQ14" s="1236">
        <f t="shared" ref="AQ14:AV14" si="4">SUBTOTAL(9,AQ9:AQ13)</f>
        <v>0</v>
      </c>
      <c r="AR14" s="1236">
        <f t="shared" si="4"/>
        <v>4.7823192650778855E-2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822</v>
      </c>
      <c r="G17" s="552">
        <f>IF(ISNUMBER(IF(D_I="SI",Datos!I17,Datos!I17+Datos!AC17)),IF(D_I="SI",Datos!I17,Datos!I17+Datos!AC17)," - ")</f>
        <v>753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1091</v>
      </c>
      <c r="Z17" s="805">
        <f>IF(ISNUMBER(Datos!Q17),Datos!Q17," - ")</f>
        <v>14</v>
      </c>
      <c r="AA17" s="551">
        <f>IF(ISNUMBER(IF(D_I="SI",Datos!L17,Datos!L17+Datos!AF17)),IF(D_I="SI",Datos!L17,Datos!L17+Datos!AF17)," - ")</f>
        <v>690</v>
      </c>
      <c r="AB17" s="549"/>
      <c r="AC17" s="549"/>
      <c r="AD17" s="563"/>
      <c r="AE17" s="563">
        <f>IF(ISNUMBER(Datos!R17),Datos!R17," - ")</f>
        <v>85</v>
      </c>
      <c r="AF17" s="693" t="str">
        <f>IF(ISNUMBER(Datos!BV17),Datos!BV17," - ")</f>
        <v xml:space="preserve"> - </v>
      </c>
      <c r="AG17" s="552"/>
      <c r="AH17" s="553"/>
      <c r="AI17" s="554"/>
      <c r="AJ17" s="552">
        <f>IF(ISNUMBER(Datos!M17),Datos!M17," - ")</f>
        <v>93</v>
      </c>
      <c r="AK17" s="693">
        <f>IF(ISNUMBER(Datos!N17),Datos!N17," - ")</f>
        <v>685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1.8973418881759854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90</v>
      </c>
      <c r="Z18" s="805">
        <f>IF(ISNUMBER(Datos!Q18),Datos!Q18," - ")</f>
        <v>0</v>
      </c>
      <c r="AA18" s="551">
        <f>IF(ISNUMBER(Datos!L18),Datos!L18,"-")</f>
        <v>60</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13</v>
      </c>
      <c r="AK18" s="693">
        <f>IF(ISNUMBER(Datos!N18),Datos!N18," - ")</f>
        <v>38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822</v>
      </c>
      <c r="G23" s="1197">
        <f>SUBTOTAL(9,G16:G22)</f>
        <v>832</v>
      </c>
      <c r="H23" s="1240">
        <f>SUBTOTAL(9,H16:H22)</f>
        <v>0</v>
      </c>
      <c r="I23" s="1217">
        <f>SUBTOTAL(9,I16:I22)</f>
        <v>0</v>
      </c>
      <c r="J23" s="1164">
        <f>SUBTOTAL(9,J15:J22)</f>
        <v>0</v>
      </c>
      <c r="K23" s="1240">
        <f t="shared" ref="K23:S23" si="5">SUBTOTAL(9,K16:K22)</f>
        <v>0</v>
      </c>
      <c r="L23" s="1240">
        <f t="shared" si="5"/>
        <v>0</v>
      </c>
      <c r="M23" s="1240">
        <f t="shared" si="5"/>
        <v>0</v>
      </c>
      <c r="N23" s="1240">
        <f t="shared" si="5"/>
        <v>25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1181</v>
      </c>
      <c r="Z23" s="1240">
        <f t="shared" si="6"/>
        <v>14</v>
      </c>
      <c r="AA23" s="1240">
        <f t="shared" si="6"/>
        <v>750</v>
      </c>
      <c r="AB23" s="1240">
        <f t="shared" si="6"/>
        <v>0</v>
      </c>
      <c r="AC23" s="1240">
        <f t="shared" si="6"/>
        <v>0</v>
      </c>
      <c r="AD23" s="1240">
        <f t="shared" si="6"/>
        <v>0</v>
      </c>
      <c r="AE23" s="1240">
        <f t="shared" si="6"/>
        <v>88</v>
      </c>
      <c r="AF23" s="1240">
        <f t="shared" si="6"/>
        <v>0</v>
      </c>
      <c r="AG23" s="1240">
        <f t="shared" si="6"/>
        <v>0</v>
      </c>
      <c r="AH23" s="1240">
        <f t="shared" si="6"/>
        <v>0</v>
      </c>
      <c r="AI23" s="1240">
        <f t="shared" si="6"/>
        <v>0</v>
      </c>
      <c r="AJ23" s="1240">
        <f t="shared" si="6"/>
        <v>106</v>
      </c>
      <c r="AK23" s="1240">
        <f t="shared" si="6"/>
        <v>723</v>
      </c>
      <c r="AL23" s="1240">
        <f t="shared" si="6"/>
        <v>0</v>
      </c>
      <c r="AM23" s="1240">
        <f t="shared" si="6"/>
        <v>0</v>
      </c>
      <c r="AN23" s="1240">
        <f t="shared" si="6"/>
        <v>0</v>
      </c>
      <c r="AO23" s="1242">
        <f>IF(ISNUMBER(((NºAsuntos!I23/NºAsuntos!G23)*11)/factor_trimestre),((NºAsuntos!I23/NºAsuntos!G23)*11)/factor_trimestre," - ")</f>
        <v>1.9051651143099069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823</v>
      </c>
      <c r="G31" s="1117">
        <f t="shared" si="12"/>
        <v>833</v>
      </c>
      <c r="H31" s="1118">
        <f t="shared" si="12"/>
        <v>0</v>
      </c>
      <c r="I31" s="1117">
        <f t="shared" si="12"/>
        <v>0</v>
      </c>
      <c r="J31" s="1119">
        <f t="shared" si="12"/>
        <v>0</v>
      </c>
      <c r="K31" s="1117">
        <f t="shared" si="12"/>
        <v>0</v>
      </c>
      <c r="L31" s="1120">
        <f t="shared" si="12"/>
        <v>0</v>
      </c>
      <c r="M31" s="1117">
        <f t="shared" si="12"/>
        <v>0</v>
      </c>
      <c r="N31" s="1118">
        <f t="shared" si="12"/>
        <v>238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1196</v>
      </c>
      <c r="Z31" s="1124">
        <f t="shared" si="13"/>
        <v>255</v>
      </c>
      <c r="AA31" s="1125">
        <f t="shared" si="13"/>
        <v>751</v>
      </c>
      <c r="AB31" s="1125">
        <f t="shared" si="13"/>
        <v>0</v>
      </c>
      <c r="AC31" s="1125">
        <f t="shared" si="13"/>
        <v>0</v>
      </c>
      <c r="AD31" s="1126">
        <f t="shared" si="13"/>
        <v>0</v>
      </c>
      <c r="AE31" s="1126">
        <f t="shared" si="13"/>
        <v>3314</v>
      </c>
      <c r="AF31" s="1127">
        <f t="shared" si="13"/>
        <v>0</v>
      </c>
      <c r="AG31" s="1128">
        <f t="shared" si="13"/>
        <v>0</v>
      </c>
      <c r="AH31" s="1129">
        <f t="shared" si="13"/>
        <v>0</v>
      </c>
      <c r="AI31" s="1127">
        <f t="shared" si="13"/>
        <v>0</v>
      </c>
      <c r="AJ31" s="1117">
        <f t="shared" si="13"/>
        <v>281</v>
      </c>
      <c r="AK31" s="1117">
        <f t="shared" si="13"/>
        <v>1273</v>
      </c>
      <c r="AL31" s="1117">
        <f t="shared" si="13"/>
        <v>0</v>
      </c>
      <c r="AM31" s="1130">
        <f t="shared" si="13"/>
        <v>0</v>
      </c>
      <c r="AN31" s="1120">
        <f>IF(ISNUMBER(Datos!K31/Datos!J31),Datos!K31/Datos!J31," - ")</f>
        <v>1.0605605605605606</v>
      </c>
      <c r="AO31" s="1120">
        <f>IF(ISNUMBER(FIND("06",Criterios!A8,1)),(IF(ISNUMBER(((Datos!R31/Datos!Q31)*11)/factor_trimestre),((Datos!R31/Datos!Q31)*11)/factor_trimestre," - ")),(IF(ISNUMBER(((Datos!L31/Datos!K31)*11)/factor_trimestre),((Datos!L31/Datos!K31)*11)/factor_trimestre," - ")))</f>
        <v>4.8560641812175556</v>
      </c>
      <c r="AP31" s="1131" t="str">
        <f>IF(ISNUMBER(Datos!CI31/Datos!CJ31),Datos!CI31/Datos!CJ31," - ")</f>
        <v xml:space="preserve"> - </v>
      </c>
      <c r="AQ31" s="1131">
        <f>IF(OR(ISNUMBER(FIND("01",Criterios!A8,1)),ISNUMBER(FIND("02",Criterios!A8,1)),ISNUMBER(FIND("03",Criterios!A8,1)),ISNUMBER(FIND("04",Criterios!A8,1))),(J31-Y31+K31)/(F31-K31),(I31-Y31+K31)/(F31-K31))</f>
        <v>-1.4532199270959902</v>
      </c>
      <c r="AR31" s="1131">
        <f>IF(ISNUMBER((Datos!P31-Datos!Q31+O31)/(Datos!R31-Datos!P31+Datos!Q31-O31)),(Datos!P31-Datos!Q31+O31)/(Datos!R31-Datos!P31+Datos!Q31-O31)," - ")</f>
        <v>-5.103572500750525E-3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238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424.22101158083467</v>
      </c>
      <c r="G33" s="674">
        <f>IF(ISNUMBER(STDEV(G8:G30)),STDEV(G8:G30),"-")</f>
        <v>380.56274121358751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76.022083257808333</v>
      </c>
      <c r="AK33" s="276"/>
      <c r="AL33" s="276">
        <f>IF(ISNUMBER(STDEV(AL8:AL30)),STDEV(AL8:AL30),"-")</f>
        <v>0</v>
      </c>
      <c r="AM33" s="278">
        <f>IF(ISNUMBER(STDEV(AM8:AM30)),STDEV(AM8:AM30),"-")</f>
        <v>0</v>
      </c>
      <c r="AN33" s="660">
        <f>IF(ISNUMBER(STDEV(AN8:AN30)),STDEV(AN8:AN30),"-")</f>
        <v>0</v>
      </c>
      <c r="AO33" s="661">
        <f>IF(ISNUMBER(STDEV(AO8:AO30)),STDEV(AO8:AO30),"-")</f>
        <v>3.3900833543255739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wYjf0LPNYzhf4ceuCzPY5VOwpib+e7vBkwvco1epTnOLsiTJJeXjR07KBIlGWQqFkjbzNLcuu3mxqAgwH9VRWA==" saltValue="C7FX8m1hP/x0KAPsJBUkC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uQ1D+FGfA0gfhRUMQD7tW5QBzZ8slp/8DpFze1bI5VzJ62a2cKZOivj10hSPM3eMgdHGjwM8vORgqWHl+bL7dw==" saltValue="hKCxnHEYG4d6HIUhM7i4F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M+BTXuj1b20FMc1xCj7Rve7BSV7+UPUfO5ssorL3a/xjCeJyiVdpDgLh4QqHZsnxFDxaNDmed+42B3b00nnZw==" saltValue="hmiaeI3xmBPr3jzfSSOGF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SAN LORENZO DE EL ESCORIAL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0.16203703703703703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0.11457748769226464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cPLRwCS1hE8jNZFKMB5FMr1WtoivzTelGXeOcsMX9GLzMLdGx9ff99kY1sOqVPDtjq6rzAgxXYkGUd6ckR22JQ==" saltValue="zdfQRPa+iorPl40UlLNj9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WSU9N+K37FY4nUrW6z6TH2VzHB0lT16ZPOq4p2BZZjwgdLXFQ7MEwMu27k16TkoiLhm5rvxmxc32q6CbkPvX6A==" saltValue="Wpx+/sA6pjnICGMnaUdBD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SAN LORENZO DE EL ESCORIAL</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15</v>
      </c>
      <c r="F10" s="452">
        <f>IF(ISNUMBER(E10/B10),E10/B10," - ")</f>
        <v>15</v>
      </c>
      <c r="G10" s="451">
        <f>IF(ISNUMBER(Datos!K10),Datos!K10," - ")</f>
        <v>15</v>
      </c>
      <c r="H10" s="452">
        <f>IF(ISNUMBER(G10/B10),G10/B10," - ")</f>
        <v>15</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2815</v>
      </c>
      <c r="D12" s="452">
        <f>IF(ISNUMBER(C12/Datos!BH12),C12/Datos!BH12," - ")</f>
        <v>703.75</v>
      </c>
      <c r="E12" s="451">
        <f>IF(ISNUMBER(IF(J_V="SI",Datos!J12,Datos!J12+Datos!Z12)),IF(J_V="SI",Datos!J12,Datos!J12+Datos!Z12)," - ")</f>
        <v>1110</v>
      </c>
      <c r="F12" s="452">
        <f>IF(ISNUMBER(E12/B12),E12/B12," - ")</f>
        <v>222</v>
      </c>
      <c r="G12" s="451">
        <f>IF(ISNUMBER(IF(J_V="SI",Datos!K12,Datos!K12+Datos!AA12)),IF(J_V="SI",Datos!K12,Datos!K12+Datos!AA12)," - ")</f>
        <v>1065</v>
      </c>
      <c r="H12" s="452">
        <f>IF(ISNUMBER(G12/B12),G12/B12," - ")</f>
        <v>213</v>
      </c>
      <c r="I12" s="451">
        <f>IF(ISNUMBER(IF(J_V="SI",Datos!L12,Datos!L12+Datos!AB12)),IF(J_V="SI",Datos!L12,Datos!L12+Datos!AB12)," - ")</f>
        <v>2836</v>
      </c>
      <c r="J12" s="452">
        <f>IF(ISNUMBER(I12/B12),I12/B12," - ")</f>
        <v>567.20000000000005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2816</v>
      </c>
      <c r="D14" s="1147" t="str">
        <f>IF(ISNUMBER(C14/Datos!BI14),C14/Datos!BI14," - ")</f>
        <v xml:space="preserve"> - </v>
      </c>
      <c r="E14" s="1146">
        <f>SUBTOTAL(9,E8:E13)</f>
        <v>1125</v>
      </c>
      <c r="F14" s="1147">
        <f>IF(ISNUMBER(E14/B14),E14/B14," - ")</f>
        <v>225</v>
      </c>
      <c r="G14" s="1146">
        <f>SUBTOTAL(9,G8:G13)</f>
        <v>1080</v>
      </c>
      <c r="H14" s="1147">
        <f>IF(ISNUMBER(G14/B14),G14/B14," - ")</f>
        <v>216</v>
      </c>
      <c r="I14" s="1146">
        <f>SUBTOTAL(9,I8:I13)</f>
        <v>2837</v>
      </c>
      <c r="J14" s="1147">
        <f>IF(ISNUMBER(I14/B14),I14/B14," - ")</f>
        <v>567.4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753</v>
      </c>
      <c r="D17" s="452">
        <f>IF(ISNUMBER(C17/Datos!BH17),C17/Datos!BH17," - ")</f>
        <v>188.25</v>
      </c>
      <c r="E17" s="451">
        <f>IF(ISNUMBER(IF(D_I="SI",Datos!J17,Datos!J17+Datos!AD17)),IF(D_I="SI",Datos!J17,Datos!J17+Datos!AD17)," - ")</f>
        <v>959</v>
      </c>
      <c r="F17" s="452">
        <f>IF(ISNUMBER(E17/B17),E17/B17," - ")</f>
        <v>191.8</v>
      </c>
      <c r="G17" s="451">
        <f>IF(ISNUMBER(IF(D_I="SI",Datos!K17,Datos!K17+Datos!AE17)),IF(D_I="SI",Datos!K17,Datos!K17+Datos!AE17)," - ")</f>
        <v>1091</v>
      </c>
      <c r="H17" s="452">
        <f>IF(ISNUMBER(G17/B17),G17/B17," - ")</f>
        <v>218.2</v>
      </c>
      <c r="I17" s="451">
        <f>IF(ISNUMBER(IF(D_I="SI",Datos!L17,Datos!L17+Datos!AF17)),IF(D_I="SI",Datos!L17,Datos!L17+Datos!AF17)," - ")</f>
        <v>690</v>
      </c>
      <c r="J17" s="452">
        <f>IF(ISNUMBER(I17/B17),I17/B17," - ")</f>
        <v>138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79</v>
      </c>
      <c r="D18" s="452">
        <f>IF(ISNUMBER(C18/Datos!BH18),C18/Datos!BH18," - ")</f>
        <v>79</v>
      </c>
      <c r="E18" s="451">
        <f>IF(ISNUMBER(IF(D_I="SI",Datos!J18,Datos!J18+Datos!AD18)),IF(D_I="SI",Datos!J18,Datos!J18+Datos!AD18)," - ")</f>
        <v>70</v>
      </c>
      <c r="F18" s="452">
        <f>IF(ISNUMBER(E18/B18),E18/B18," - ")</f>
        <v>70</v>
      </c>
      <c r="G18" s="451">
        <f>IF(ISNUMBER(IF(D_I="SI",Datos!K18,Datos!K18+Datos!AE18)),IF(D_I="SI",Datos!K18,Datos!K18+Datos!AE18)," - ")</f>
        <v>90</v>
      </c>
      <c r="H18" s="452">
        <f>IF(ISNUMBER(G18/B18),G18/B18," - ")</f>
        <v>90</v>
      </c>
      <c r="I18" s="451">
        <f>IF(ISNUMBER(IF(D_I="SI",Datos!L18,Datos!L18+Datos!AF18)),IF(D_I="SI",Datos!L18,Datos!L18+Datos!AF18)," - ")</f>
        <v>60</v>
      </c>
      <c r="J18" s="452">
        <f>IF(ISNUMBER(I18/B18),I18/B18," - ")</f>
        <v>60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832</v>
      </c>
      <c r="D23" s="1147" t="str">
        <f>IF(ISNUMBER(C23/Datos!BI23),C23/Datos!BI23," - ")</f>
        <v xml:space="preserve"> - </v>
      </c>
      <c r="E23" s="1146">
        <f>SUBTOTAL(9,E15:E22)</f>
        <v>1029</v>
      </c>
      <c r="F23" s="1147">
        <f>IF(ISNUMBER(E23/B23),E23/B23," - ")</f>
        <v>205.8</v>
      </c>
      <c r="G23" s="1146">
        <f>SUBTOTAL(9,G15:G22)</f>
        <v>1181</v>
      </c>
      <c r="H23" s="1147">
        <f>IF(ISNUMBER(G23/B23),G23/B23," - ")</f>
        <v>236.2</v>
      </c>
      <c r="I23" s="1146">
        <f>SUBTOTAL(9,I15:I22)</f>
        <v>750</v>
      </c>
      <c r="J23" s="1147">
        <f>IF(ISNUMBER(I23/B23),I23/B23," - ")</f>
        <v>150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3648</v>
      </c>
      <c r="D31" s="1085" t="str">
        <f>IF(ISNUMBER(C31/Datos!BI31),C31/Datos!BI31," - ")</f>
        <v xml:space="preserve"> - </v>
      </c>
      <c r="E31" s="1084">
        <f>SUBTOTAL(9,E9:E30)</f>
        <v>2154</v>
      </c>
      <c r="F31" s="1085">
        <f>IF(ISNUMBER(E31/B31),E31/B31," - ")</f>
        <v>430.8</v>
      </c>
      <c r="G31" s="1084">
        <f>SUBTOTAL(9,G9:G30)</f>
        <v>2261</v>
      </c>
      <c r="H31" s="1085">
        <f>IF(ISNUMBER(G31/B31),G31/B31," - ")</f>
        <v>452.2</v>
      </c>
      <c r="I31" s="1084">
        <f>SUBTOTAL(9,I9:I30)</f>
        <v>3587</v>
      </c>
      <c r="J31" s="1085">
        <f>IF(ISNUMBER(I31/B31),I31/B31," - ")</f>
        <v>717.4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yMBTnzyn0lg+A6L+U72cFhin+/zgeIy7jseVghiSthtMRW7nkJkd2i1d0hmcxVIc7zOvO86VVL3pUxYii2c3KQ==" saltValue="mt/3qO2pomjOIBTLAN+D8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SAN LORENZO DE EL ESCORIAL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15</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7</v>
      </c>
      <c r="AN10" s="914">
        <f>IF(ISNUMBER(Datos!BW10+DatosP!BW18),Datos!BW10+DatosP!BW18," - ")</f>
        <v>0</v>
      </c>
      <c r="AO10" s="915">
        <f>IF(ISNUMBER(Datos!BX10+DatosP!BX18),Datos!BX10+DatosP!BX18," - ")</f>
        <v>0</v>
      </c>
      <c r="AP10" s="917">
        <f>IF(ISNUMBER(((Datos!L10/Datos!K10)*11)/factor_trimestre),((Datos!L10/Datos!K10)*11)/factor_trimestre," - ")</f>
        <v>0.19999999999999998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210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240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3189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171</v>
      </c>
      <c r="AM12" s="914">
        <f>IF(ISNUMBER(Datos!N12+DatosP!N17),Datos!N12+DatosP!N17," - ")</f>
        <v>543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7.9887323943661981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-9.3196644920782844E-3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213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15</v>
      </c>
      <c r="AC14" s="1257">
        <f t="shared" si="1"/>
        <v>0</v>
      </c>
      <c r="AD14" s="1257">
        <f t="shared" si="1"/>
        <v>240</v>
      </c>
      <c r="AE14" s="1257">
        <f t="shared" si="1"/>
        <v>0</v>
      </c>
      <c r="AF14" s="1257">
        <f t="shared" si="1"/>
        <v>1</v>
      </c>
      <c r="AG14" s="1257">
        <f t="shared" si="1"/>
        <v>0</v>
      </c>
      <c r="AH14" s="1257">
        <f t="shared" si="1"/>
        <v>3189</v>
      </c>
      <c r="AI14" s="1257">
        <f t="shared" si="1"/>
        <v>0</v>
      </c>
      <c r="AJ14" s="1257">
        <f t="shared" si="1"/>
        <v>0</v>
      </c>
      <c r="AK14" s="1257">
        <f t="shared" si="1"/>
        <v>0</v>
      </c>
      <c r="AL14" s="1257">
        <f t="shared" si="1"/>
        <v>175</v>
      </c>
      <c r="AM14" s="1257">
        <f t="shared" si="1"/>
        <v>550</v>
      </c>
      <c r="AN14" s="1257">
        <f t="shared" si="1"/>
        <v>0</v>
      </c>
      <c r="AO14" s="1257">
        <f t="shared" si="1"/>
        <v>0</v>
      </c>
      <c r="AP14" s="1262">
        <f>IF(ISNUMBER(((Datos!L14/Datos!K14)*11)/factor_trimestre),((Datos!L14/Datos!K14)*11)/factor_trimestre," - ")</f>
        <v>8.571428571428573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-15</v>
      </c>
      <c r="AU14" s="1257" t="str">
        <f>IF(ISNUMBER((DatosP!#REF!-DatosP!#REF!+DatosP!#REF!)/(DatosP!#REF!+DatosP!#REF!-DatosP!#REF!-DatosP!#REF!)),(DatosP!#REF!-DatosP!#REF!+DatosP!#REF!)/(DatosP!#REF!+DatosP!#REF!-DatosP!#REF!-DatosP!#REF!)," - ")</f>
        <v xml:space="preserve"> - </v>
      </c>
      <c r="AV14" s="1263">
        <f>SUBTOTAL(9,AV9:AV13)</f>
        <v>-9.3196644920782844E-3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1.9051651143099069</v>
      </c>
      <c r="AQ23" s="1262">
        <f>IF(ISNUMBER(((Datos!M23/Datos!L23)*11)/factor_trimestre),((Datos!M23/Datos!L23)*11)/factor_trimestre," - ")</f>
        <v>0.42399999999999999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0.14285714285714285</v>
      </c>
      <c r="AW23" s="1265">
        <f>IF(ISNUMBER((Datos!Q23-Datos!R23)/(Datos!S23-Datos!Q23+Datos!R23)),(Datos!Q23-Datos!R23)/(Datos!S23-Datos!Q23+Datos!R23)," - ")</f>
        <v>-7.8556263269639062E-2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213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15</v>
      </c>
      <c r="AC31" s="1284">
        <f t="shared" si="9"/>
        <v>0</v>
      </c>
      <c r="AD31" s="1284">
        <f t="shared" si="9"/>
        <v>240</v>
      </c>
      <c r="AE31" s="1284">
        <f t="shared" si="9"/>
        <v>0</v>
      </c>
      <c r="AF31" s="1285">
        <f t="shared" si="9"/>
        <v>1</v>
      </c>
      <c r="AG31" s="1285">
        <f t="shared" si="9"/>
        <v>0</v>
      </c>
      <c r="AH31" s="1285">
        <f t="shared" si="9"/>
        <v>3189</v>
      </c>
      <c r="AI31" s="1285">
        <f t="shared" si="9"/>
        <v>0</v>
      </c>
      <c r="AJ31" s="1286">
        <f t="shared" si="9"/>
        <v>0</v>
      </c>
      <c r="AK31" s="1286">
        <f t="shared" si="9"/>
        <v>0</v>
      </c>
      <c r="AL31" s="1278">
        <f t="shared" si="9"/>
        <v>175</v>
      </c>
      <c r="AM31" s="1278">
        <f t="shared" si="9"/>
        <v>550</v>
      </c>
      <c r="AN31" s="1278">
        <f t="shared" si="9"/>
        <v>0</v>
      </c>
      <c r="AO31" s="1278">
        <f t="shared" si="9"/>
        <v>0</v>
      </c>
      <c r="AP31" s="1278">
        <f>IF(ISNUMBER(((Datos!L31/Datos!K31)*11)/factor_trimestre),((Datos!L31/Datos!K31)*11)/factor_trimestre," - ")</f>
        <v>4.8560641812175556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-5.103572500750525E-3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8.2158383625774913</v>
      </c>
      <c r="AC33" s="1008">
        <f>IF(ISNUMBER(STDEV(AC8:AC30)),STDEV(AC8:AC30),"-")</f>
        <v>0</v>
      </c>
      <c r="AD33" s="1011"/>
      <c r="AE33" s="1011"/>
      <c r="AF33" s="1011"/>
      <c r="AG33" s="1011"/>
      <c r="AH33" s="1011"/>
      <c r="AI33" s="1011"/>
      <c r="AJ33" s="1012">
        <f>IF(ISNUMBER(STDEV(AJ8:AJ30)),STDEV(AJ8:AJ30),"-")</f>
        <v>0</v>
      </c>
      <c r="AK33" s="1014"/>
      <c r="AL33" s="1006">
        <f>IF(ISNUMBER(STDEV(AL8:AL30)),STDEV(AL8:AL30),"-")</f>
        <v>88.842932564535857</v>
      </c>
      <c r="AM33" s="1006"/>
      <c r="AN33" s="1006">
        <f>IF(ISNUMBER(STDEV(AN8:AN30)),STDEV(AN8:AN30),"-")</f>
        <v>0</v>
      </c>
      <c r="AO33" s="1012">
        <f>IF(ISNUMBER(STDEV(AO8:AO30)),STDEV(AO8:AO30),"-")</f>
        <v>0</v>
      </c>
      <c r="AP33" s="1065">
        <f>IF(ISNUMBER(STDEV(AP8:AP30)),STDEV(AP8:AP30),"-")</f>
        <v>4.2371487157254881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bkYv1QmEcf+anT1qvHqhU7dmSBfj49lffJlXHt2LYWacvU6B+eHgp9NcFtgwWds95jRdiKU7+4tgaDcHjT7+hw==" saltValue="aafUqmncdiGiL9/6suEWH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SAN LORENZO DE EL ESCORIAL</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1.25</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1.25</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cn64aK+++FJOVp+RcDXfEs3UAKJ5flUxH37CVxj51LbtKecBB2x4CNPCauJLXTRMM4A13SEUSEv5IAn7G02GAA==" saltValue="kC2dMqdvxlF8bAYUo56+S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SAN LORENZO DE EL ESCORIAL</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7</v>
      </c>
      <c r="G10" s="452">
        <f>IF(ISNUMBER(F10/B10),F10/B10," - ")</f>
        <v>7</v>
      </c>
      <c r="H10" s="451">
        <f>IF(ISNUMBER(Datos!O10),Datos!O10," - ")</f>
        <v>5</v>
      </c>
      <c r="I10" s="452">
        <f t="shared" ref="I10:I13" si="2">IF(ISNUMBER(H10/B10),H10/B10," - ")</f>
        <v>5</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171</v>
      </c>
      <c r="E12" s="452">
        <f t="shared" si="0"/>
        <v>34.200000000000003</v>
      </c>
      <c r="F12" s="451">
        <f>IF(ISNUMBER(Datos!N12),Datos!N12," - ")</f>
        <v>543</v>
      </c>
      <c r="G12" s="452">
        <f t="shared" si="1"/>
        <v>108.6</v>
      </c>
      <c r="H12" s="451">
        <f>IF(ISNUMBER(Datos!O12),Datos!O12," - ")</f>
        <v>400</v>
      </c>
      <c r="I12" s="452">
        <f t="shared" si="2"/>
        <v>80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175</v>
      </c>
      <c r="E14" s="1147">
        <f t="shared" si="0"/>
        <v>29.166666666666668</v>
      </c>
      <c r="F14" s="1146">
        <f>SUBTOTAL(9,F9:F13)</f>
        <v>550</v>
      </c>
      <c r="G14" s="1147">
        <f t="shared" si="1"/>
        <v>91.666666666666671</v>
      </c>
      <c r="H14" s="1146">
        <f>SUBTOTAL(9,H9:H13)</f>
        <v>405</v>
      </c>
      <c r="I14" s="1147">
        <f>IF(ISNUMBER(H14/B14),H14/B14," - ")</f>
        <v>67.5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93</v>
      </c>
      <c r="E17" s="452">
        <f t="shared" si="3"/>
        <v>18.600000000000001</v>
      </c>
      <c r="F17" s="451">
        <f>IF(ISNUMBER(Datos!N17),Datos!N17," - ")</f>
        <v>685</v>
      </c>
      <c r="G17" s="452">
        <f t="shared" si="4"/>
        <v>137</v>
      </c>
      <c r="H17" s="451">
        <f>IF(ISNUMBER(Datos!O17),Datos!O17," - ")</f>
        <v>12</v>
      </c>
      <c r="I17" s="452">
        <f t="shared" si="5"/>
        <v>2.4</v>
      </c>
    </row>
    <row r="18" spans="1:9">
      <c r="A18" s="450" t="str">
        <f>Datos!A18</f>
        <v>Jdos. Violencia contra la mujer</v>
      </c>
      <c r="B18" s="480">
        <f>Datos!AO18</f>
        <v>1</v>
      </c>
      <c r="C18" s="481">
        <f>Datos!AQ18</f>
        <v>0</v>
      </c>
      <c r="D18" s="451">
        <f>IF(ISNUMBER(Datos!M18),Datos!M18," - ")</f>
        <v>13</v>
      </c>
      <c r="E18" s="452">
        <f>IF(ISNUMBER(D18/B18),D18/B18," - ")</f>
        <v>13</v>
      </c>
      <c r="F18" s="451">
        <f>IF(ISNUMBER(Datos!N18),Datos!N18," - ")</f>
        <v>38</v>
      </c>
      <c r="G18" s="452">
        <f>IF(ISNUMBER(F18/B18),F18/B18," - ")</f>
        <v>38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106</v>
      </c>
      <c r="E23" s="1147">
        <f t="shared" si="3"/>
        <v>17.666666666666668</v>
      </c>
      <c r="F23" s="1146">
        <f>SUBTOTAL(9,F16:F22)</f>
        <v>723</v>
      </c>
      <c r="G23" s="1147">
        <f t="shared" si="4"/>
        <v>120.5</v>
      </c>
      <c r="H23" s="1146">
        <f>SUBTOTAL(9,H16:H22)</f>
        <v>12</v>
      </c>
      <c r="I23" s="1147">
        <f>IF(ISNUMBER(H23/B23),H23/B23," - ")</f>
        <v>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281</v>
      </c>
      <c r="E31" s="1085">
        <f>IF(ISNUMBER(D31/B31),D31/B31," - ")</f>
        <v>56.2</v>
      </c>
      <c r="F31" s="1084">
        <f>SUBTOTAL(9,F8:F30)</f>
        <v>1273</v>
      </c>
      <c r="G31" s="1085">
        <f>IF(ISNUMBER(F31/B31),F31/B31," - ")</f>
        <v>254.6</v>
      </c>
      <c r="H31" s="1084">
        <f>SUBTOTAL(9,H8:H30)</f>
        <v>417</v>
      </c>
      <c r="I31" s="1085">
        <f>IF(ISNUMBER(H31/B31),H31/B31," - ")</f>
        <v>83.4</v>
      </c>
    </row>
    <row r="34" spans="1:1">
      <c r="A34" s="439" t="str">
        <f>Criterios!A4</f>
        <v>Fecha Informe: 06 may. 2023</v>
      </c>
    </row>
    <row r="39" spans="1:1">
      <c r="A39" s="462"/>
    </row>
  </sheetData>
  <sheetProtection algorithmName="SHA-512" hashValue="7UsyLX6FmjzcD6Tv3lgd+B4SmfcaLLXzx95z1BgnRX0tlkwvP0+1xt2XwxsrL8y4tMJkcWiNcaB1fdEQEqmuMA==" saltValue="5YePclAy1B+APxvl4oH/6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SAN LORENZO DE EL ESCORIAL</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v>
      </c>
      <c r="C10" s="489">
        <f>IF(ISNUMBER(Datos!Q10),Datos!Q10," - ")</f>
        <v>1</v>
      </c>
      <c r="D10" s="456">
        <f>IF(ISNUMBER(Datos!R10),Datos!R10," - ")</f>
        <v>37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210</v>
      </c>
      <c r="C12" s="489">
        <f>IF(ISNUMBER(Datos!Q12),Datos!Q12," - ")</f>
        <v>240</v>
      </c>
      <c r="D12" s="456">
        <f>IF(ISNUMBER(Datos!R12),Datos!R12," - ")</f>
        <v>3189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213</v>
      </c>
      <c r="C14" s="1150">
        <f>SUBTOTAL(9,C9:C13)</f>
        <v>241</v>
      </c>
      <c r="D14" s="1148">
        <f>SUBTOTAL(9,D9:D13)</f>
        <v>3226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24</v>
      </c>
      <c r="C17" s="489">
        <f>IF(ISNUMBER(Datos!Q17),Datos!Q17," - ")</f>
        <v>14</v>
      </c>
      <c r="D17" s="456">
        <f>IF(ISNUMBER(Datos!R17),Datos!R17," - ")</f>
        <v>85</v>
      </c>
    </row>
    <row r="18" spans="1:4">
      <c r="A18" s="450" t="str">
        <f>Datos!A18</f>
        <v>Jdos. Violencia contra la mujer</v>
      </c>
      <c r="B18" s="488">
        <f>IF(ISNUMBER(Datos!P18),Datos!P18," - ")</f>
        <v>1</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25</v>
      </c>
      <c r="C23" s="1150">
        <f>SUBTOTAL(9,C16:C22)</f>
        <v>14</v>
      </c>
      <c r="D23" s="1148">
        <f>SUBTOTAL(9,D16:D22)</f>
        <v>88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238</v>
      </c>
      <c r="C31" s="1089">
        <f>SUBTOTAL(9,C8:C30)</f>
        <v>255</v>
      </c>
      <c r="D31" s="1090">
        <f>SUBTOTAL(9,D8:D30)</f>
        <v>3314</v>
      </c>
    </row>
    <row r="32" spans="1:4" ht="7.5" customHeight="1"/>
    <row r="33" spans="1:1" ht="6" customHeight="1"/>
    <row r="34" spans="1:1">
      <c r="A34" s="439" t="str">
        <f>Criterios!A4</f>
        <v>Fecha Informe: 06 may. 2023</v>
      </c>
    </row>
    <row r="39" spans="1:1">
      <c r="A39" s="462"/>
    </row>
  </sheetData>
  <sheetProtection algorithmName="SHA-512" hashValue="ayxaXQ3DYTbAj7ye+RSjn3QqiE3oWO840C6TzLx6a8hf2xk2CRFDB/DYFB6YuV/u/jduUkavd+8rqzVbDvgVmw==" saltValue="z6oItu4Drh9PQ8mY0c1Xe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SAN LORENZO DE EL ESCORIAL</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-0.98275862068965514</v>
      </c>
      <c r="C10" s="515">
        <f>IF(ISNUMBER((Datos!J10-Datos!T10)/Datos!T10),(Datos!J10-Datos!T10)/Datos!T10," - ")</f>
        <v>0.66666666666666663</v>
      </c>
      <c r="D10" s="515">
        <f>IF(ISNUMBER((Datos!K10-Datos!U10)/Datos!U10),(Datos!K10-Datos!U10)/Datos!U10," - ")</f>
        <v>0.875</v>
      </c>
      <c r="E10" s="515">
        <f>IF(ISNUMBER((Datos!L10-Datos!V10)/Datos!V10),(Datos!L10-Datos!V10)/Datos!V10," - ")</f>
        <v>-0.98305084745762716</v>
      </c>
      <c r="F10" s="515" t="str">
        <f>IF(ISNUMBER((Datos!M10-Datos!W10)/Datos!W10),(Datos!M10-Datos!W10)/Datos!W10," - ")</f>
        <v xml:space="preserve"> - </v>
      </c>
      <c r="G10" s="516">
        <f>IF(ISNUMBER((Datos!N10-Datos!X10)/Datos!X10),(Datos!N10-Datos!X10)/Datos!X10," - ")</f>
        <v>6</v>
      </c>
      <c r="H10" s="514">
        <f>IF(ISNUMBER(((NºAsuntos!G10/NºAsuntos!E10)-Datos!BD10)/Datos!BD10),((NºAsuntos!G10/NºAsuntos!E10)-Datos!BD10)/Datos!BD10," - ")</f>
        <v>0.12500000000000006</v>
      </c>
      <c r="I10" s="515">
        <f>IF(ISNUMBER(((NºAsuntos!I10/NºAsuntos!G10)-Datos!BE10)/Datos!BE10),((NºAsuntos!I10/NºAsuntos!G10)-Datos!BE10)/Datos!BE10," - ")</f>
        <v>-0.99096045197740112</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-0.87263681592039799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1.8451519536903039E-2</v>
      </c>
      <c r="C12" s="515">
        <f>IF(ISNUMBER(
   IF(J_V="SI",(Datos!J12-Datos!T12)/Datos!T12,(Datos!J12+Datos!Z12-(Datos!T12+Datos!AH12))/(Datos!T12+Datos!AH12))
     ),IF(J_V="SI",(Datos!J12-Datos!T12)/Datos!T12,(Datos!J12+Datos!Z12-(Datos!T12+Datos!AH12))/(Datos!T12+Datos!AH12))," - ")</f>
        <v>-7.6539101497504161E-2</v>
      </c>
      <c r="D12" s="515">
        <f>IF(ISNUMBER(
   IF(J_V="SI",(Datos!K12-Datos!U12)/Datos!U12,(Datos!K12+Datos!AA12-(Datos!U12+Datos!AI12))/(Datos!U12+Datos!AI12))
     ),IF(J_V="SI",(Datos!K12-Datos!U12)/Datos!U12,(Datos!K12+Datos!AA12-(Datos!U12+Datos!AI12))/(Datos!U12+Datos!AI12))," - ")</f>
        <v>-0.10126582278481013</v>
      </c>
      <c r="E12" s="515">
        <f>IF(ISNUMBER(
   IF(J_V="SI",(Datos!L12-Datos!V12)/Datos!V12,(Datos!L12+Datos!AB12-(Datos!V12+Datos!AJ12))/(Datos!V12+Datos!AJ12))
     ),IF(J_V="SI",(Datos!L12-Datos!V12)/Datos!V12,(Datos!L12+Datos!AB12-(Datos!V12+Datos!AJ12))/(Datos!V12+Datos!AJ12))," - ")</f>
        <v>1.9777058612010068E-2</v>
      </c>
      <c r="F12" s="515">
        <f>IF(ISNUMBER((Datos!M12-Datos!W12)/Datos!W12),(Datos!M12-Datos!W12)/Datos!W12," - ")</f>
        <v>-0.16176470588235295</v>
      </c>
      <c r="G12" s="516">
        <f>IF(ISNUMBER((Datos!N12-Datos!X12)/Datos!X12),(Datos!N12-Datos!X12)/Datos!X12," - ")</f>
        <v>-0.1542056074766355</v>
      </c>
      <c r="H12" s="514">
        <f>IF(ISNUMBER(((NºAsuntos!G12/NºAsuntos!E12)-Datos!BD12)/Datos!BD12),((NºAsuntos!G12/NºAsuntos!E12)-Datos!BD12)/Datos!BD12," - ")</f>
        <v>-2.6776143231839477E-2</v>
      </c>
      <c r="I12" s="515">
        <f>IF(ISNUMBER(((NºAsuntos!I12/NºAsuntos!G12)-Datos!BE12)/Datos!BE12),((NºAsuntos!I12/NºAsuntos!G12)-Datos!BE12)/Datos!BE12," - ")</f>
        <v>0.13468151592040559</v>
      </c>
      <c r="J12" s="521">
        <f>IF(ISNUMBER((('Resol  Asuntos'!D12/NºAsuntos!G12)-Datos!BF12)/Datos!BF12),(('Resol  Asuntos'!D12/NºAsuntos!G12)-Datos!BF12)/Datos!BF12," - ")</f>
        <v>-0.70363301303145975</v>
      </c>
      <c r="K12" s="522">
        <f>IF(ISNUMBER((((NºAsuntos!C12+NºAsuntos!E12)/NºAsuntos!G12)-Datos!BG12)/Datos!BG12),(((NºAsuntos!C12+NºAsuntos!E12)/NºAsuntos!G12)-Datos!BG12)/Datos!BG12," - ")</f>
        <v>0.10117335378889576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-2.1261516654854712E-3</v>
      </c>
      <c r="C14" s="1152">
        <f>IF(ISNUMBER(
   IF(J_V="SI",(Datos!J14-Datos!T14)/Datos!T14,(Datos!J14+Datos!Z14-(Datos!T14+Datos!AH14))/(Datos!T14+Datos!AH14))
     ),IF(J_V="SI",(Datos!J14-Datos!T14)/Datos!T14,(Datos!J14+Datos!Z14-(Datos!T14+Datos!AH14))/(Datos!T14+Datos!AH14))," - ")</f>
        <v>-7.1015689512799338E-2</v>
      </c>
      <c r="D14" s="1152">
        <f>IF(ISNUMBER(
   IF(J_V="SI",(Datos!K14-Datos!U14)/Datos!U14,(Datos!K14+Datos!AA14-(Datos!U14+Datos!AI14))/(Datos!U14+Datos!AI14))
     ),IF(J_V="SI",(Datos!K14-Datos!U14)/Datos!U14,(Datos!K14+Datos!AA14-(Datos!U14+Datos!AI14))/(Datos!U14+Datos!AI14))," - ")</f>
        <v>-9.4719195305951381E-2</v>
      </c>
      <c r="E14" s="1152">
        <f>IF(ISNUMBER(
   IF(J_V="SI",(Datos!L14-Datos!V14)/Datos!V14,(Datos!L14+Datos!AB14-(Datos!V14+Datos!AJ14))/(Datos!V14+Datos!AJ14))
     ),IF(J_V="SI",(Datos!L14-Datos!V14)/Datos!V14,(Datos!L14+Datos!AB14-(Datos!V14+Datos!AJ14))/(Datos!V14+Datos!AJ14))," - ")</f>
        <v>-1.056338028169014E-3</v>
      </c>
      <c r="F14" s="1153">
        <f>IF(ISNUMBER((Datos!M14-Datos!W14)/Datos!W14),(Datos!M14-Datos!W14)/Datos!W14," - ")</f>
        <v>-0.14215686274509803</v>
      </c>
      <c r="G14" s="1154">
        <f>IF(ISNUMBER((Datos!N14-Datos!X14)/Datos!X14),(Datos!N14-Datos!X14)/Datos!X14," - ")</f>
        <v>-0.14463452566096424</v>
      </c>
      <c r="H14" s="1154">
        <f>IF(ISNUMBER(((NºAsuntos!G14/NºAsuntos!E14)-Datos!BD14)/Datos!BD14),((NºAsuntos!G14/NºAsuntos!E14)-Datos!BD14)/Datos!BD14," - ")</f>
        <v>-2.5515507124895281E-2</v>
      </c>
      <c r="I14" s="1154">
        <f>IF(ISNUMBER(((NºAsuntos!I14/NºAsuntos!G14)-Datos!BE14)/Datos!BE14),((NºAsuntos!I14/NºAsuntos!G14)-Datos!BE14)/Datos!BE14," - ")</f>
        <v>0.10346276734480973</v>
      </c>
      <c r="J14" s="1154">
        <f>IF(ISNUMBER((('Resol  Asuntos'!D14/NºAsuntos!G14)-Datos!BF14)/Datos!BF14),(('Resol  Asuntos'!D14/NºAsuntos!G14)-Datos!BF14)/Datos!BF14," - ")</f>
        <v>-0.69889379254644046</v>
      </c>
      <c r="K14" s="1154">
        <f>IF(ISNUMBER((((NºAsuntos!C14+NºAsuntos!E14)/NºAsuntos!G14)-Datos!BG14)/Datos!BG14),(((NºAsuntos!C14+NºAsuntos!E14)/NºAsuntos!G14)-Datos!BG14)/Datos!BG14," - ")</f>
        <v>7.9431036541128347E-2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-3.9540816326530615E-2</v>
      </c>
      <c r="C17" s="515">
        <f>IF(ISNUMBER(
   IF(D_I="SI",(Datos!J17-Datos!T17)/Datos!T17,(Datos!J17+Datos!AD17-(Datos!T17+Datos!AL17))/(Datos!T17+Datos!AL17))
     ),IF(D_I="SI",(Datos!J17-Datos!T17)/Datos!T17,(Datos!J17+Datos!AD17-(Datos!T17+Datos!AL17))/(Datos!T17+Datos!AL17))," - ")</f>
        <v>0.35070422535211265</v>
      </c>
      <c r="D17" s="515">
        <f>IF(ISNUMBER(
   IF(D_I="SI",(Datos!K17-Datos!U17)/Datos!U17,(Datos!K17+Datos!AE17-(Datos!U17+Datos!AM17))/(Datos!U17+Datos!AM17))
     ),IF(D_I="SI",(Datos!K17-Datos!U17)/Datos!U17,(Datos!K17+Datos!AE17-(Datos!U17+Datos!AM17))/(Datos!U17+Datos!AM17))," - ")</f>
        <v>0.46442953020134226</v>
      </c>
      <c r="E17" s="515">
        <f>IF(ISNUMBER(
   IF(D_I="SI",(Datos!L17-Datos!V17)/Datos!V17,(Datos!L17+Datos!AF17-(Datos!V17+Datos!AN17))/(Datos!V17+Datos!AN17))
     ),IF(D_I="SI",(Datos!L17-Datos!V17)/Datos!V17,(Datos!L17+Datos!AF17-(Datos!V17+Datos!AN17))/(Datos!V17+Datos!AN17))," - ")</f>
        <v>-0.12547528517110265</v>
      </c>
      <c r="F17" s="515">
        <f>IF(ISNUMBER((Datos!M17-Datos!W17)/Datos!W17),(Datos!M17-Datos!W17)/Datos!W17," - ")</f>
        <v>0.52459016393442626</v>
      </c>
      <c r="G17" s="516">
        <f>IF(ISNUMBER((Datos!N17-Datos!X17)/Datos!X17),(Datos!N17-Datos!X17)/Datos!X17," - ")</f>
        <v>0.6348448687350835</v>
      </c>
      <c r="H17" s="514">
        <f>IF(ISNUMBER(((NºAsuntos!G17/NºAsuntos!E17)-Datos!BD17)/Datos!BD17),((NºAsuntos!G17/NºAsuntos!E17)-Datos!BD17)/Datos!BD17," - ")</f>
        <v>8.4197045300263951E-2</v>
      </c>
      <c r="I17" s="515">
        <f>IF(ISNUMBER(((NºAsuntos!I17/NºAsuntos!G17)-Datos!BE17)/Datos!BE17),((NºAsuntos!I17/NºAsuntos!G17)-Datos!BE17)/Datos!BE17," - ")</f>
        <v>-0.40282226164296198</v>
      </c>
      <c r="J17" s="521">
        <f>IF(ISNUMBER((('Resol  Asuntos'!D17/NºAsuntos!G17)-Datos!BF17)/Datos!BF17),(('Resol  Asuntos'!D17/NºAsuntos!G17)-Datos!BF17)/Datos!BF17," - ")</f>
        <v>4.1081276013884123E-2</v>
      </c>
      <c r="K17" s="522">
        <f>IF(ISNUMBER((((NºAsuntos!C17+NºAsuntos!E17)/NºAsuntos!G17)-Datos!BG17)/Datos!BG17),(((NºAsuntos!C17+NºAsuntos!E17)/NºAsuntos!G17)-Datos!BG17)/Datos!BG17," - ")</f>
        <v>-0.21749938955332482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-5.9523809523809521E-2</v>
      </c>
      <c r="C18" s="515">
        <f>IF(ISNUMBER(
   IF(D_I="SI",(Datos!J18-Datos!T18)/Datos!T18,(Datos!J18+Datos!AD18-(Datos!T18+Datos!AL18))/(Datos!T18+Datos!AL18))
     ),IF(D_I="SI",(Datos!J18-Datos!T18)/Datos!T18,(Datos!J18+Datos!AD18-(Datos!T18+Datos!AL18))/(Datos!T18+Datos!AL18))," - ")</f>
        <v>-9.0909090909090912E-2</v>
      </c>
      <c r="D18" s="515">
        <f>IF(ISNUMBER(
   IF(D_I="SI",(Datos!K18-Datos!U18)/Datos!U18,(Datos!K18+Datos!AE18-(Datos!U18+Datos!AM18))/(Datos!U18+Datos!AM18))
     ),IF(D_I="SI",(Datos!K18-Datos!U18)/Datos!U18,(Datos!K18+Datos!AE18-(Datos!U18+Datos!AM18))/(Datos!U18+Datos!AM18))," - ")</f>
        <v>0.3235294117647059</v>
      </c>
      <c r="E18" s="515">
        <f>IF(ISNUMBER(
   IF(D_I="SI",(Datos!L18-Datos!V18)/Datos!V18,(Datos!L18+Datos!AF18-(Datos!V18+Datos!AN18))/(Datos!V18+Datos!AN18))
     ),IF(D_I="SI",(Datos!L18-Datos!V18)/Datos!V18,(Datos!L18+Datos!AF18-(Datos!V18+Datos!AN18))/(Datos!V18+Datos!AN18))," - ")</f>
        <v>-0.35483870967741937</v>
      </c>
      <c r="F18" s="515">
        <f>IF(ISNUMBER((Datos!M18-Datos!W18)/Datos!W18),(Datos!M18-Datos!W18)/Datos!W18," - ")</f>
        <v>1.6</v>
      </c>
      <c r="G18" s="516">
        <f>IF(ISNUMBER((Datos!N18-Datos!X18)/Datos!X18),(Datos!N18-Datos!X18)/Datos!X18," - ")</f>
        <v>-0.28301886792452829</v>
      </c>
      <c r="H18" s="514">
        <f>IF(ISNUMBER(((NºAsuntos!G18/NºAsuntos!E18)-Datos!BD18)/Datos!BD18),((NºAsuntos!G18/NºAsuntos!E18)-Datos!BD18)/Datos!BD18," - ")</f>
        <v>0.45588235294117663</v>
      </c>
      <c r="I18" s="515">
        <f>IF(ISNUMBER(((NºAsuntos!I18/NºAsuntos!G18)-Datos!BE18)/Datos!BE18),((NºAsuntos!I18/NºAsuntos!G18)-Datos!BE18)/Datos!BE18," - ")</f>
        <v>-0.51254480286738358</v>
      </c>
      <c r="J18" s="521">
        <f>IF(ISNUMBER((('Resol  Asuntos'!D18/NºAsuntos!G18)-Datos!BF18)/Datos!BF18),(('Resol  Asuntos'!D18/NºAsuntos!G18)-Datos!BF18)/Datos!BF18," - ")</f>
        <v>0.96444444444444422</v>
      </c>
      <c r="K18" s="522">
        <f>IF(ISNUMBER((((NºAsuntos!C18+NºAsuntos!E18)/NºAsuntos!G18)-Datos!BG18)/Datos!BG18),(((NºAsuntos!C18+NºAsuntos!E18)/NºAsuntos!G18)-Datos!BG18)/Datos!BG18," - ")</f>
        <v>-0.30075914423740518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-4.1474654377880185E-2</v>
      </c>
      <c r="C23" s="1152">
        <f>IF(ISNUMBER(
   IF(Criterios!B14="SI",(Datos!J23-Datos!T23)/Datos!T23,(Datos!J23+Datos!AD23-(Datos!T23+Datos!AL23))/(Datos!T23+Datos!AL23))
     ),IF(Criterios!B14="SI",(Datos!J23-Datos!T23)/Datos!T23,(Datos!J23+Datos!AD23-(Datos!T23+Datos!AL23))/(Datos!T23+Datos!AL23))," - ")</f>
        <v>0.30749682337992373</v>
      </c>
      <c r="D23" s="1152">
        <f>IF(ISNUMBER(
   IF(Criterios!B14="SI",(Datos!K23-Datos!U23)/Datos!U23,(Datos!K23+Datos!AE23-(Datos!U23+Datos!AM23))/(Datos!U23+Datos!AM23))
     ),IF(Criterios!B14="SI",(Datos!K23-Datos!U23)/Datos!U23,(Datos!K23+Datos!AE23-(Datos!U23+Datos!AM23))/(Datos!U23+Datos!AM23))," - ")</f>
        <v>0.45264452644526443</v>
      </c>
      <c r="E23" s="1152">
        <f>IF(ISNUMBER(
   IF(Criterios!B14="SI",(Datos!L23-Datos!V23)/Datos!V23,(Datos!L23+Datos!AF23-(Datos!V23+Datos!AN23))/(Datos!V23+Datos!AN23))
     ),IF(Criterios!B14="SI",(Datos!L23-Datos!V23)/Datos!V23,(Datos!L23+Datos!AF23-(Datos!V23+Datos!AN23))/(Datos!V23+Datos!AN23))," - ")</f>
        <v>-0.14965986394557823</v>
      </c>
      <c r="F23" s="1153">
        <f>IF(ISNUMBER((Datos!M23-Datos!W23)/Datos!W23),(Datos!M23-Datos!W23)/Datos!W23," - ")</f>
        <v>0.60606060606060608</v>
      </c>
      <c r="G23" s="1154">
        <f>IF(ISNUMBER((Datos!N23-Datos!X23)/Datos!X23),(Datos!N23-Datos!X23)/Datos!X23," - ")</f>
        <v>0.53177966101694918</v>
      </c>
      <c r="H23" s="1154">
        <f>IF(ISNUMBER(((NºAsuntos!G23/NºAsuntos!E23)-Datos!BD23)/Datos!BD23),((NºAsuntos!G23/NºAsuntos!E23)-Datos!BD23)/Datos!BD23," - ")</f>
        <v>0.11101189729098478</v>
      </c>
      <c r="I23" s="1154">
        <f>IF(ISNUMBER(((NºAsuntos!I23/NºAsuntos!G23)-Datos!BE23)/Datos!BE23),((NºAsuntos!I23/NºAsuntos!G23)-Datos!BE23)/Datos!BE23," - ")</f>
        <v>-0.414626138346956</v>
      </c>
      <c r="J23" s="1154">
        <f>IF(ISNUMBER((('Resol  Asuntos'!D23/NºAsuntos!G23)-Datos!BF23)/Datos!BF23),(('Resol  Asuntos'!D23/NºAsuntos!G23)-Datos!BF23)/Datos!BF23," - ")</f>
        <v>0.1056115772457856</v>
      </c>
      <c r="K23" s="1154">
        <f>IF(ISNUMBER((((NºAsuntos!C23+NºAsuntos!E23)/NºAsuntos!G23)-Datos!BG23)/Datos!BG23),(((NºAsuntos!C23+NºAsuntos!E23)/NºAsuntos!G23)-Datos!BG23)/Datos!BG23," - ")</f>
        <v>-0.22591433855788157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-1.1382113821138212E-2</v>
      </c>
      <c r="C31" s="1092">
        <f>IF(ISNUMBER(
   IF(J_V="SI",(Datos!J31-Datos!T31)/Datos!T31,(Datos!J31+Datos!Z31-(Datos!T31+Datos!AH31))/(Datos!T31+Datos!AH31))
     ),IF(J_V="SI",(Datos!J31-Datos!T31)/Datos!T31,(Datos!J31+Datos!Z31-(Datos!T31+Datos!AH31))/(Datos!T31+Datos!AH31))," - ")</f>
        <v>7.8078078078078081E-2</v>
      </c>
      <c r="D31" s="1092">
        <f>IF(ISNUMBER(
   IF(J_V="SI",(Datos!K31-Datos!U31)/Datos!U31,(Datos!K31+Datos!AA31-(Datos!U31+Datos!AI31))/(Datos!U31+Datos!AI31))
     ),IF(J_V="SI",(Datos!K31-Datos!U31)/Datos!U31,(Datos!K31+Datos!AA31-(Datos!U31+Datos!AI31))/(Datos!U31+Datos!AI31))," - ")</f>
        <v>0.1271186440677966</v>
      </c>
      <c r="E31" s="1092">
        <f>IF(ISNUMBER(
   IF(J_V="SI",(Datos!L31-Datos!V31)/Datos!V31,(Datos!L31+Datos!AB31-(Datos!V31+Datos!AJ31))/(Datos!V31+Datos!AJ31))
     ),IF(J_V="SI",(Datos!L31-Datos!V31)/Datos!V31,(Datos!L31+Datos!AB31-(Datos!V31+Datos!AJ31))/(Datos!V31+Datos!AJ31))," - ")</f>
        <v>-3.6270822138635139E-2</v>
      </c>
      <c r="F31" s="1093">
        <f>IF(ISNUMBER((Datos!M31-Datos!W31)/Datos!W31),(Datos!M31-Datos!W31)/Datos!W31," - ")</f>
        <v>4.0740740740740744E-2</v>
      </c>
      <c r="G31" s="1094">
        <f>IF(ISNUMBER((Datos!N31-Datos!X31)/Datos!X31),(Datos!N31-Datos!X31)/Datos!X31," - ")</f>
        <v>0.14170403587443947</v>
      </c>
      <c r="H31" s="1095">
        <f>IF(ISNUMBER((Tasas!B31-Datos!BD31)/Datos!BD31),(Tasas!B31-Datos!BD31)/Datos!BD31," - ")</f>
        <v>4.5488881544780854E-2</v>
      </c>
      <c r="I31" s="1096">
        <f>IF(ISNUMBER((Tasas!C31-Datos!BE31)/Datos!BE31),(Tasas!C31-Datos!BE31)/Datos!BE31," - ")</f>
        <v>-0.14496208279969133</v>
      </c>
      <c r="J31" s="1097">
        <f>IF(ISNUMBER((Tasas!D31-Datos!BF31)/Datos!BF31),(Tasas!D31-Datos!BF31)/Datos!BF31," - ")</f>
        <v>-0.64786967418546371</v>
      </c>
      <c r="K31" s="1097">
        <f>IF(ISNUMBER((Tasas!E31-Datos!BG31)/Datos!BG31),(Tasas!E31-Datos!BG31)/Datos!BG31," - ")</f>
        <v>-9.500015862440922E-2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gUnAqgTgE9aSpZ4bA7oPOYSgF0q1oprXqHlR0dOszLSiJuCzhcoRwcMiRC8L3Y5iVAUz1Q4ALiE9GhgEkI8EFA==" saltValue="20DVutGcJk/RhTwDaQwnx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SAN LORENZO DE EL ESCORIAL</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6.6666666666666666E-2</v>
      </c>
      <c r="D10" s="499">
        <f>IF(ISNUMBER('Resol  Asuntos'!D10/NºAsuntos!G10),'Resol  Asuntos'!D10/NºAsuntos!G10," - ")</f>
        <v>0.26666666666666666</v>
      </c>
      <c r="E10" s="500">
        <f>IF(ISNUMBER((NºAsuntos!C10+NºAsuntos!E10)/NºAsuntos!G10),(NºAsuntos!C10+NºAsuntos!E10)/NºAsuntos!G10," - ")</f>
        <v>1.0666666666666667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0.95945945945945943</v>
      </c>
      <c r="C12" s="498">
        <f>IF(ISNUMBER(NºAsuntos!I12/NºAsuntos!G12),NºAsuntos!I12/NºAsuntos!G12," - ")</f>
        <v>2.6629107981220659</v>
      </c>
      <c r="D12" s="499">
        <f>IF(ISNUMBER('Resol  Asuntos'!D12/NºAsuntos!G12),'Resol  Asuntos'!D12/NºAsuntos!G12," - ")</f>
        <v>0.16056338028169015</v>
      </c>
      <c r="E12" s="500">
        <f>IF(ISNUMBER((NºAsuntos!C12+NºAsuntos!E12)/NºAsuntos!G12),(NºAsuntos!C12+NºAsuntos!E12)/NºAsuntos!G12," - ")</f>
        <v>3.6854460093896715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0.96</v>
      </c>
      <c r="C14" s="1156">
        <f>IF(ISNUMBER(NºAsuntos!I14/NºAsuntos!G14),NºAsuntos!I14/NºAsuntos!G14," - ")</f>
        <v>2.626851851851852</v>
      </c>
      <c r="D14" s="1157">
        <f>IF(ISNUMBER('Resol  Asuntos'!D14/NºAsuntos!G14),'Resol  Asuntos'!D14/NºAsuntos!G14," - ")</f>
        <v>0.16203703703703703</v>
      </c>
      <c r="E14" s="1158">
        <f>IF(ISNUMBER((NºAsuntos!C14+NºAsuntos!E14)/NºAsuntos!G14),(NºAsuntos!C14+NºAsuntos!E14)/NºAsuntos!G14," - ")</f>
        <v>3.6490740740740741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1.137643378519291</v>
      </c>
      <c r="C17" s="498">
        <f>IF(ISNUMBER(NºAsuntos!I17/NºAsuntos!G17),NºAsuntos!I17/NºAsuntos!G17," - ")</f>
        <v>0.63244729605866179</v>
      </c>
      <c r="D17" s="499">
        <f>IF(ISNUMBER('Resol  Asuntos'!D17/NºAsuntos!G17),'Resol  Asuntos'!D17/NºAsuntos!G17," - ")</f>
        <v>8.5242896425297893E-2</v>
      </c>
      <c r="E17" s="500">
        <f>IF(ISNUMBER((NºAsuntos!C17+NºAsuntos!E17)/NºAsuntos!G17),(NºAsuntos!C17+NºAsuntos!E17)/NºAsuntos!G17," - ")</f>
        <v>1.5692025664527955</v>
      </c>
      <c r="G17" s="523"/>
    </row>
    <row r="18" spans="1:7">
      <c r="A18" s="450" t="str">
        <f>Datos!A18</f>
        <v>Jdos. Violencia contra la mujer</v>
      </c>
      <c r="B18" s="497">
        <f>IF(ISNUMBER(NºAsuntos!G18/NºAsuntos!E18),NºAsuntos!G18/NºAsuntos!E18," - ")</f>
        <v>1.2857142857142858</v>
      </c>
      <c r="C18" s="498">
        <f>IF(ISNUMBER(NºAsuntos!I18/NºAsuntos!G18),NºAsuntos!I18/NºAsuntos!G18," - ")</f>
        <v>0.66666666666666663</v>
      </c>
      <c r="D18" s="499">
        <f>IF(ISNUMBER('Resol  Asuntos'!D18/NºAsuntos!G18),'Resol  Asuntos'!D18/NºAsuntos!G18," - ")</f>
        <v>0.14444444444444443</v>
      </c>
      <c r="E18" s="500">
        <f>IF(ISNUMBER((NºAsuntos!C18+NºAsuntos!E18)/NºAsuntos!G18),(NºAsuntos!C18+NºAsuntos!E18)/NºAsuntos!G18," - ")</f>
        <v>1.6555555555555554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1.1477162293488825</v>
      </c>
      <c r="C23" s="1156">
        <f>IF(ISNUMBER(NºAsuntos!I23/NºAsuntos!G23),NºAsuntos!I23/NºAsuntos!G23," - ")</f>
        <v>0.63505503810330233</v>
      </c>
      <c r="D23" s="1159">
        <f>IF(ISNUMBER('Resol  Asuntos'!D23/NºAsuntos!G23),'Resol  Asuntos'!D23/NºAsuntos!G23," - ")</f>
        <v>8.9754445385266723E-2</v>
      </c>
      <c r="E23" s="1158">
        <f>IF(ISNUMBER((NºAsuntos!C23+NºAsuntos!E23)/NºAsuntos!G23),(NºAsuntos!C23+NºAsuntos!E23)/NºAsuntos!G23," - ")</f>
        <v>1.575783234546994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1.0496750232126277</v>
      </c>
      <c r="C31" s="1099">
        <f>IF(ISNUMBER(NºAsuntos!I31/NºAsuntos!G31),NºAsuntos!I31/NºAsuntos!G31," - ")</f>
        <v>1.5864661654135339</v>
      </c>
      <c r="D31" s="1100">
        <f>IF(ISNUMBER('Resol  Asuntos'!D31/NºAsuntos!G31),'Resol  Asuntos'!D31/NºAsuntos!G31," - ")</f>
        <v>0.124281291463954</v>
      </c>
      <c r="E31" s="1101">
        <f>IF(ISNUMBER((NºAsuntos!C31+NºAsuntos!E31)/NºAsuntos!G31),(NºAsuntos!C31+NºAsuntos!E31)/NºAsuntos!G31," - ")</f>
        <v>2.5661211853162316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ZHO+Pjj/W111Z0CIMUfhq9TA8iBMQIhvkji9qQePQdNXN40rnN3b0Ta9e/a7YfkcQuRmaf6KDtANAu7nf+lOQ==" saltValue="8DVDmsWZu4rjgHWT2iDRH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SAN LORENZO DE EL ESCORIAL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15</v>
      </c>
      <c r="X10" s="240">
        <f>IF(ISNUMBER(Datos!Q10),Datos!Q10," - ")</f>
        <v>1</v>
      </c>
      <c r="Y10" s="374">
        <f t="shared" ref="Y10:Y13" si="0">SUM(W10:X10)</f>
        <v>16</v>
      </c>
      <c r="Z10" s="375" t="str">
        <f>IF(ISNUMBER(Datos!CC10),Datos!CC10," - ")</f>
        <v xml:space="preserve"> - </v>
      </c>
      <c r="AA10" s="372">
        <f>IF(ISNUMBER(Datos!L10),Datos!L10,"-")</f>
        <v>1</v>
      </c>
      <c r="AB10" s="374">
        <f>IF(ISNUMBER(Datos!R10),Datos!R10," - ")</f>
        <v>37</v>
      </c>
      <c r="AC10" s="374">
        <f t="shared" ref="AC10:AC13" si="1">IF(ISNUMBER(AA10+AB10),AA10+AB10," - ")</f>
        <v>38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0.19999999999999998</v>
      </c>
      <c r="AN10" s="267">
        <f>IF(ISNUMBER('Resol  Asuntos'!D10/NºAsuntos!G10),'Resol  Asuntos'!D10/NºAsuntos!G10," - ")</f>
        <v>0.26666666666666666</v>
      </c>
      <c r="AO10" s="268">
        <f>IF(ISNUMBER((NºAsuntos!C10+NºAsuntos!E10)/NºAsuntos!G10),(NºAsuntos!C10+NºAsuntos!E10)/NºAsuntos!G10," - ")</f>
        <v>1.0666666666666667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210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240</v>
      </c>
      <c r="Y12" s="374">
        <f t="shared" si="0"/>
        <v>240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3189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171</v>
      </c>
      <c r="AJ12" s="243" t="str">
        <f>IF(ISNUMBER(Datos!BW12),Datos!BW12," - ")</f>
        <v xml:space="preserve"> - </v>
      </c>
      <c r="AK12" s="242" t="str">
        <f>IF(ISNUMBER(Datos!BX12),Datos!BX12," - ")</f>
        <v xml:space="preserve"> - </v>
      </c>
      <c r="AL12" s="266">
        <f>IF(ISNUMBER(NºAsuntos!G12/NºAsuntos!E12),NºAsuntos!G12/NºAsuntos!E12," - ")</f>
        <v>0.95945945945945943</v>
      </c>
      <c r="AM12" s="284">
        <f>IF(ISNUMBER(((NºAsuntos!I12/NºAsuntos!G12)*11)/factor_trimestre),((NºAsuntos!I12/NºAsuntos!G12)*11)/factor_trimestre," - ")</f>
        <v>7.9887323943661981</v>
      </c>
      <c r="AN12" s="267">
        <f>IF(ISNUMBER('Resol  Asuntos'!D12/NºAsuntos!G12),'Resol  Asuntos'!D12/NºAsuntos!G12," - ")</f>
        <v>0.16056338028169015</v>
      </c>
      <c r="AO12" s="268">
        <f>IF(ISNUMBER((NºAsuntos!C12+NºAsuntos!E12)/NºAsuntos!G12),(NºAsuntos!C12+NºAsuntos!E12)/NºAsuntos!G12," - ")</f>
        <v>3.6854460093896715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1</v>
      </c>
      <c r="G14" s="1163">
        <f t="shared" si="5"/>
        <v>1</v>
      </c>
      <c r="H14" s="1162">
        <f t="shared" si="5"/>
        <v>0</v>
      </c>
      <c r="I14" s="1164">
        <f t="shared" si="5"/>
        <v>0</v>
      </c>
      <c r="J14" s="1164">
        <f t="shared" si="5"/>
        <v>0</v>
      </c>
      <c r="K14" s="1164">
        <f t="shared" si="5"/>
        <v>0</v>
      </c>
      <c r="L14" s="1164">
        <f t="shared" si="5"/>
        <v>213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15</v>
      </c>
      <c r="X14" s="1164">
        <f t="shared" si="6"/>
        <v>241</v>
      </c>
      <c r="Y14" s="1165">
        <f t="shared" si="6"/>
        <v>256</v>
      </c>
      <c r="Z14" s="1165">
        <f t="shared" si="6"/>
        <v>0</v>
      </c>
      <c r="AA14" s="1165">
        <f t="shared" si="6"/>
        <v>1</v>
      </c>
      <c r="AB14" s="1165">
        <f t="shared" si="6"/>
        <v>3226</v>
      </c>
      <c r="AC14" s="1165">
        <f t="shared" si="6"/>
        <v>38</v>
      </c>
      <c r="AD14" s="1165">
        <f t="shared" si="6"/>
        <v>0</v>
      </c>
      <c r="AE14" s="1169">
        <f t="shared" si="6"/>
        <v>0</v>
      </c>
      <c r="AF14" s="1162">
        <f t="shared" si="6"/>
        <v>0</v>
      </c>
      <c r="AG14" s="1170">
        <f t="shared" si="6"/>
        <v>0</v>
      </c>
      <c r="AH14" s="1167">
        <f t="shared" si="6"/>
        <v>0</v>
      </c>
      <c r="AI14" s="1162">
        <f t="shared" si="6"/>
        <v>175</v>
      </c>
      <c r="AJ14" s="1164">
        <f t="shared" si="6"/>
        <v>0</v>
      </c>
      <c r="AK14" s="1167">
        <f>SUBTOTAL(9,AK9:AK13)</f>
        <v>0</v>
      </c>
      <c r="AL14" s="1171">
        <f>IF(ISNUMBER(NºAsuntos!G14/NºAsuntos!E14),NºAsuntos!G14/NºAsuntos!E14," - ")</f>
        <v>0.96</v>
      </c>
      <c r="AM14" s="1171">
        <f>IF(ISNUMBER(((NºAsuntos!I14/NºAsuntos!G14)*11)/factor_trimestre),((NºAsuntos!I14/NºAsuntos!G14)*11)/factor_trimestre," - ")</f>
        <v>7.8805555555555564</v>
      </c>
      <c r="AN14" s="1172">
        <f>IF(ISNUMBER('Resol  Asuntos'!D14/NºAsuntos!G14),'Resol  Asuntos'!D14/NºAsuntos!G14," - ")</f>
        <v>0.16203703703703703</v>
      </c>
      <c r="AO14" s="1173">
        <f>IF(ISNUMBER((NºAsuntos!C14+NºAsuntos!E14)/NºAsuntos!G14),(NºAsuntos!C14+NºAsuntos!E14)/NºAsuntos!G14," - ")</f>
        <v>3.6490740740740741</v>
      </c>
      <c r="AP14" s="1174" t="str">
        <f t="shared" si="2"/>
        <v xml:space="preserve"> - </v>
      </c>
      <c r="AQ14" s="1174">
        <f>IF(ISNUMBER((H14-W14+K14)/(F14)),(H14-W14+K14)/(F14)," - ")</f>
        <v>-15</v>
      </c>
      <c r="AR14" s="1175">
        <f>IF(ISNUMBER((Datos!P14-Datos!Q14)/(Datos!R14-Datos!P14+Datos!Q14)),(Datos!P14-Datos!Q14)/(Datos!R14-Datos!P14+Datos!Q14)," - ")</f>
        <v>-8.6047940995697611E-3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822</v>
      </c>
      <c r="G17" s="373">
        <f>IF(ISNUMBER(IF(D_I="SI",Datos!I17,Datos!I17+Datos!AC17)),IF(D_I="SI",Datos!I17,Datos!I17+Datos!AC17)," - ")</f>
        <v>753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1091</v>
      </c>
      <c r="X17" s="240">
        <f>IF(ISNUMBER(Datos!Q17),Datos!Q17," - ")</f>
        <v>14</v>
      </c>
      <c r="Y17" s="374">
        <f t="shared" ref="Y17:Y22" si="9">SUM(W17:X17)</f>
        <v>1105</v>
      </c>
      <c r="Z17" s="375" t="str">
        <f>IF(ISNUMBER(Datos!CC17),Datos!CC17," - ")</f>
        <v xml:space="preserve"> - </v>
      </c>
      <c r="AA17" s="372">
        <f>IF(ISNUMBER(IF(D_I="SI",Datos!L17,Datos!L17+Datos!AF17)),IF(D_I="SI",Datos!L17,Datos!L17+Datos!AF17)," - ")</f>
        <v>690</v>
      </c>
      <c r="AB17" s="374">
        <f>IF(ISNUMBER(Datos!R17),Datos!R17," - ")</f>
        <v>85</v>
      </c>
      <c r="AC17" s="374">
        <f t="shared" si="8"/>
        <v>775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93</v>
      </c>
      <c r="AJ17" s="245" t="str">
        <f>IF(ISNUMBER(Datos!BW17),Datos!BW17," - ")</f>
        <v xml:space="preserve"> - </v>
      </c>
      <c r="AK17" s="246" t="str">
        <f>IF(ISNUMBER(Datos!BX17),Datos!BX17," - ")</f>
        <v xml:space="preserve"> - </v>
      </c>
      <c r="AL17" s="266">
        <f>IF(ISNUMBER(NºAsuntos!G17/NºAsuntos!E17),NºAsuntos!G17/NºAsuntos!E17," - ")</f>
        <v>1.137643378519291</v>
      </c>
      <c r="AM17" s="284">
        <f>IF(ISNUMBER(((NºAsuntos!I17/NºAsuntos!G17)*11)/factor_trimestre),((NºAsuntos!I17/NºAsuntos!G17)*11)/factor_trimestre," - ")</f>
        <v>1.8973418881759854</v>
      </c>
      <c r="AN17" s="267">
        <f>IF(ISNUMBER('Resol  Asuntos'!D17/NºAsuntos!G17),'Resol  Asuntos'!D17/NºAsuntos!G17," - ")</f>
        <v>8.5242896425297893E-2</v>
      </c>
      <c r="AO17" s="268">
        <f>IF(ISNUMBER((NºAsuntos!C17+NºAsuntos!E17)/NºAsuntos!G17),(NºAsuntos!C17+NºAsuntos!E17)/NºAsuntos!G17," - ")</f>
        <v>1.5692025664527955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90</v>
      </c>
      <c r="X18" s="240">
        <f>IF(ISNUMBER(Datos!Q18),Datos!Q18," - ")</f>
        <v>0</v>
      </c>
      <c r="Y18" s="374">
        <f t="shared" si="9"/>
        <v>90</v>
      </c>
      <c r="Z18" s="375" t="str">
        <f>IF(ISNUMBER(Datos!CC18),Datos!CC18," - ")</f>
        <v xml:space="preserve"> - </v>
      </c>
      <c r="AA18" s="372">
        <f>IF(ISNUMBER(Datos!L18),Datos!L18,"-")</f>
        <v>60</v>
      </c>
      <c r="AB18" s="374">
        <f>IF(ISNUMBER(Datos!R18),Datos!R18," - ")</f>
        <v>3</v>
      </c>
      <c r="AC18" s="374">
        <f t="shared" si="8"/>
        <v>63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13</v>
      </c>
      <c r="AJ18" s="245" t="str">
        <f>IF(ISNUMBER(Datos!BW18),Datos!BW18," - ")</f>
        <v xml:space="preserve"> - </v>
      </c>
      <c r="AK18" s="246" t="str">
        <f>IF(ISNUMBER(Datos!BX18),Datos!BX18," - ")</f>
        <v xml:space="preserve"> - </v>
      </c>
      <c r="AL18" s="266">
        <f>IF(ISNUMBER(NºAsuntos!G18/NºAsuntos!E18),NºAsuntos!G18/NºAsuntos!E18," - ")</f>
        <v>1.2857142857142858</v>
      </c>
      <c r="AM18" s="284">
        <f>IF(ISNUMBER(((NºAsuntos!I18/NºAsuntos!G18)*11)/factor_trimestre),((NºAsuntos!I18/NºAsuntos!G18)*11)/factor_trimestre," - ")</f>
        <v>2</v>
      </c>
      <c r="AN18" s="267">
        <f>IF(ISNUMBER('Resol  Asuntos'!D18/NºAsuntos!G18),'Resol  Asuntos'!D18/NºAsuntos!G18," - ")</f>
        <v>0.14444444444444443</v>
      </c>
      <c r="AO18" s="268">
        <f>IF(ISNUMBER((NºAsuntos!C18+NºAsuntos!E18)/NºAsuntos!G18),(NºAsuntos!C18+NºAsuntos!E18)/NºAsuntos!G18," - ")</f>
        <v>1.6555555555555554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822</v>
      </c>
      <c r="G23" s="1163">
        <f>SUBTOTAL(9,G16:G22)</f>
        <v>832</v>
      </c>
      <c r="H23" s="1162">
        <f t="shared" ref="H23:O23" si="13">SUBTOTAL(9,H15:H22)</f>
        <v>0</v>
      </c>
      <c r="I23" s="1164">
        <f t="shared" si="13"/>
        <v>0</v>
      </c>
      <c r="J23" s="1164">
        <f t="shared" si="13"/>
        <v>0</v>
      </c>
      <c r="K23" s="1164">
        <f t="shared" si="13"/>
        <v>0</v>
      </c>
      <c r="L23" s="1164">
        <f t="shared" si="13"/>
        <v>25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1181</v>
      </c>
      <c r="X23" s="1164">
        <f t="shared" si="14"/>
        <v>14</v>
      </c>
      <c r="Y23" s="1165">
        <f t="shared" si="14"/>
        <v>1195</v>
      </c>
      <c r="Z23" s="1165">
        <f t="shared" si="14"/>
        <v>0</v>
      </c>
      <c r="AA23" s="1165">
        <f t="shared" si="14"/>
        <v>750</v>
      </c>
      <c r="AB23" s="1165">
        <f t="shared" si="14"/>
        <v>88</v>
      </c>
      <c r="AC23" s="1165">
        <f t="shared" si="14"/>
        <v>838</v>
      </c>
      <c r="AD23" s="1165">
        <f t="shared" si="14"/>
        <v>0</v>
      </c>
      <c r="AE23" s="1169">
        <f t="shared" si="14"/>
        <v>0</v>
      </c>
      <c r="AF23" s="1162">
        <f t="shared" si="14"/>
        <v>0</v>
      </c>
      <c r="AG23" s="1170">
        <f t="shared" si="14"/>
        <v>0</v>
      </c>
      <c r="AH23" s="1167">
        <f t="shared" si="14"/>
        <v>0</v>
      </c>
      <c r="AI23" s="1162">
        <f t="shared" si="14"/>
        <v>106</v>
      </c>
      <c r="AJ23" s="1164">
        <f t="shared" si="14"/>
        <v>0</v>
      </c>
      <c r="AK23" s="1167">
        <f t="shared" si="14"/>
        <v>0</v>
      </c>
      <c r="AL23" s="1171">
        <f>IF(ISNUMBER(NºAsuntos!G23/NºAsuntos!E23),NºAsuntos!G23/NºAsuntos!E23," - ")</f>
        <v>1.1477162293488825</v>
      </c>
      <c r="AM23" s="1171">
        <f>IF(ISNUMBER(((NºAsuntos!I23/NºAsuntos!G23)*11)/factor_trimestre),((NºAsuntos!I23/NºAsuntos!G23)*11)/factor_trimestre," - ")</f>
        <v>1.9051651143099069</v>
      </c>
      <c r="AN23" s="1172">
        <f>IF(ISNUMBER('Resol  Asuntos'!D23/NºAsuntos!G23),'Resol  Asuntos'!D23/NºAsuntos!G23," - ")</f>
        <v>8.9754445385266723E-2</v>
      </c>
      <c r="AO23" s="1173">
        <f>IF(ISNUMBER((NºAsuntos!C23+NºAsuntos!E23)/NºAsuntos!G23),(NºAsuntos!C23+NºAsuntos!E23)/NºAsuntos!G23," - ")</f>
        <v>1.575783234546994</v>
      </c>
      <c r="AP23" s="1174" t="str">
        <f t="shared" si="2"/>
        <v xml:space="preserve"> - </v>
      </c>
      <c r="AQ23" s="1174">
        <f>IF(ISNUMBER((H23-W23+K23)/(F23)),(H23-W23+K23)/(F23)," - ")</f>
        <v>-1.4367396593673967</v>
      </c>
      <c r="AR23" s="1175">
        <f>IF(ISNUMBER((Datos!P23-Datos!Q23)/(Datos!R23-Datos!P23+Datos!Q23)),(Datos!P23-Datos!Q23)/(Datos!R23-Datos!P23+Datos!Q23)," - ")</f>
        <v>0.14285714285714285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823</v>
      </c>
      <c r="G31" s="1118">
        <f t="shared" si="20"/>
        <v>833</v>
      </c>
      <c r="H31" s="1117">
        <f t="shared" si="20"/>
        <v>0</v>
      </c>
      <c r="I31" s="1119">
        <f t="shared" si="20"/>
        <v>0</v>
      </c>
      <c r="J31" s="1119">
        <f t="shared" si="20"/>
        <v>0</v>
      </c>
      <c r="K31" s="1180">
        <f t="shared" si="20"/>
        <v>0</v>
      </c>
      <c r="L31" s="1119">
        <f t="shared" si="20"/>
        <v>238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1196</v>
      </c>
      <c r="X31" s="1118">
        <f t="shared" si="21"/>
        <v>255</v>
      </c>
      <c r="Y31" s="1125">
        <f t="shared" si="21"/>
        <v>1451</v>
      </c>
      <c r="Z31" s="1125">
        <f t="shared" si="21"/>
        <v>0</v>
      </c>
      <c r="AA31" s="1125">
        <f t="shared" si="21"/>
        <v>751</v>
      </c>
      <c r="AB31" s="1125">
        <f t="shared" si="21"/>
        <v>3314</v>
      </c>
      <c r="AC31" s="1125">
        <f t="shared" si="21"/>
        <v>876</v>
      </c>
      <c r="AD31" s="1125">
        <f t="shared" si="21"/>
        <v>0</v>
      </c>
      <c r="AE31" s="1127">
        <f t="shared" si="21"/>
        <v>0</v>
      </c>
      <c r="AF31" s="1128">
        <f t="shared" si="21"/>
        <v>0</v>
      </c>
      <c r="AG31" s="1129">
        <f t="shared" si="21"/>
        <v>0</v>
      </c>
      <c r="AH31" s="1127">
        <f t="shared" si="21"/>
        <v>0</v>
      </c>
      <c r="AI31" s="1117">
        <f t="shared" si="21"/>
        <v>281</v>
      </c>
      <c r="AJ31" s="1117">
        <f t="shared" si="21"/>
        <v>0</v>
      </c>
      <c r="AK31" s="1127">
        <f t="shared" si="21"/>
        <v>0</v>
      </c>
      <c r="AL31" s="1183">
        <f>IF(ISNUMBER(NºAsuntos!G31/NºAsuntos!E31),NºAsuntos!G31/NºAsuntos!E31," - ")</f>
        <v>1.0496750232126277</v>
      </c>
      <c r="AM31" s="1184">
        <f>IF(ISNUMBER(((NºAsuntos!I31/NºAsuntos!G31)*11)/factor_trimestre),((NºAsuntos!I31/NºAsuntos!G31)*11)/factor_trimestre," - ")</f>
        <v>4.7593984962406015</v>
      </c>
      <c r="AN31" s="1184">
        <f>IF(ISNUMBER('Resol  Asuntos'!D31/NºAsuntos!G31),'Resol  Asuntos'!D31/NºAsuntos!G31," - ")</f>
        <v>0.124281291463954</v>
      </c>
      <c r="AO31" s="1185">
        <f>IF(ISNUMBER((NºAsuntos!C31+NºAsuntos!E31)/NºAsuntos!G31),(NºAsuntos!C31+NºAsuntos!E31)/NºAsuntos!G31," - ")</f>
        <v>2.5661211853162316</v>
      </c>
      <c r="AP31" s="1186" t="str">
        <f t="shared" si="2"/>
        <v xml:space="preserve"> - </v>
      </c>
      <c r="AQ31" s="1187">
        <f>IF(OR(ISNUMBER(FIND("01",Criterios!A8,1)),ISNUMBER(FIND("02",Criterios!A8,1)),ISNUMBER(FIND("03",Criterios!A8,1)),ISNUMBER(FIND("04",Criterios!A8,1))),(I31-W31+K31)/(F31-K31),(H31-W31+K31)/(F31-K31))</f>
        <v>-1.4532199270959902</v>
      </c>
      <c r="AR31" s="1188">
        <f>IF(ISNUMBER((Datos!P31-Datos!Q31)/(Datos!R31-Datos!P31+Datos!Q31)),(Datos!P31-Datos!Q31)/(Datos!R31-Datos!P31+Datos!Q31)," - ")</f>
        <v>-5.103572500750525E-3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238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424.22101158083467</v>
      </c>
      <c r="G33" s="277">
        <f>IF(ISNUMBER(STDEV(G8:G30)),STDEV(G8:G30),"-")</f>
        <v>380.56274121358751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544.09120383924426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76.022083257808333</v>
      </c>
      <c r="AJ33" s="276">
        <f t="shared" si="25"/>
        <v>0</v>
      </c>
      <c r="AK33" s="278">
        <f t="shared" si="25"/>
        <v>0</v>
      </c>
      <c r="AL33" s="273">
        <f t="shared" si="25"/>
        <v>0.13079613460958472</v>
      </c>
      <c r="AM33" s="274">
        <f t="shared" si="25"/>
        <v>3.3900833543255739</v>
      </c>
      <c r="AN33" s="274">
        <f t="shared" si="25"/>
        <v>6.589206196448763E-2</v>
      </c>
      <c r="AO33" s="275">
        <f t="shared" si="25"/>
        <v>1.1554030631094152</v>
      </c>
      <c r="AP33" s="317" t="str">
        <f t="shared" si="25"/>
        <v>-</v>
      </c>
      <c r="AQ33" s="318">
        <f t="shared" si="25"/>
        <v>9.5906733618598761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ZfMaZqb7TXpNaEZ9Icdz0lA7TagnYy4GS+9J4xK+HssZUEMNNtGnEK3YdFBXsOeypqvgPgOQf6fxlFjUC1+fXQ==" saltValue="Id/VMQ03IYyzCaHERhJEM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SAN LORENZO DE EL ESCORIAL</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-0.98275862068965514</v>
      </c>
      <c r="E10" s="393">
        <f>IF(ISNUMBER((Datos!J10-Datos!T10)/Datos!T10),(Datos!J10-Datos!T10)/Datos!T10," - ")</f>
        <v>0.66666666666666663</v>
      </c>
      <c r="F10" s="393">
        <f>IF(ISNUMBER((Datos!K10-Datos!U10)/Datos!U10),(Datos!K10-Datos!U10)/Datos!U10," - ")</f>
        <v>0.875</v>
      </c>
      <c r="G10" s="394">
        <f>IF(ISNUMBER((Datos!L10-Datos!V10)/Datos!V10),(Datos!L10-Datos!V10)/Datos!V10," - ")</f>
        <v>-0.98305084745762716</v>
      </c>
      <c r="H10" s="244" t="str">
        <f>IF(ISNUMBER((Datos!M10-Datos!W10)/Datos!W10),(Datos!M10-Datos!W10)/Datos!W10," - ")</f>
        <v xml:space="preserve"> - </v>
      </c>
      <c r="I10" s="395">
        <f>IF(ISNUMBER((Tasas!C10-Datos!BE10)/Datos!BE10),(Tasas!C10-Datos!BE10)/Datos!BE10," - ")</f>
        <v>-0.99096045197740112</v>
      </c>
      <c r="J10" s="394" t="str">
        <f>IF(ISNUMBER((Tasas!D10-Datos!BF10)/Datos!BF10),(Tasas!D10-Datos!BF10)/Datos!BF10," - ")</f>
        <v xml:space="preserve"> - </v>
      </c>
      <c r="K10" s="396">
        <f>IF(ISNUMBER((Tasas!E10-Datos!BG10)/Datos!BG10),(Tasas!E10-Datos!BG10)/Datos!BG10," - ")</f>
        <v>-0.87263681592039799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-0.16176470588235295</v>
      </c>
      <c r="I12" s="395">
        <f>IF(ISNUMBER((Tasas!C12-Datos!BE12)/Datos!BE12),(Tasas!C12-Datos!BE12)/Datos!BE12," - ")</f>
        <v>0.13468151592040559</v>
      </c>
      <c r="J12" s="394">
        <f>IF(ISNUMBER((Tasas!D12-Datos!BF12)/Datos!BF12),(Tasas!D12-Datos!BF12)/Datos!BF12," - ")</f>
        <v>-0.70363301303145975</v>
      </c>
      <c r="K12" s="396">
        <f>IF(ISNUMBER((Tasas!E12-Datos!BG12)/Datos!BG12),(Tasas!E12-Datos!BG12)/Datos!BG12," - ")</f>
        <v>0.10117335378889576</v>
      </c>
      <c r="M12" t="e">
        <f>IF(Monitorios="SI",Datos!CE12,0)</f>
        <v>#REF!</v>
      </c>
      <c r="N12" t="e">
        <f>IF(Monitorios="SI",Datos!CF12,0)</f>
        <v>#REF!</v>
      </c>
      <c r="O12" t="e">
        <f>IF(Monitorios="SI",Datos!CG12,0)</f>
        <v>#REF!</v>
      </c>
      <c r="P12" t="e">
        <f>IF(Monitorios="SI",Datos!CH12,0)</f>
        <v>#REF!</v>
      </c>
      <c r="Q12">
        <f>IF(J_V="SI",0,Datos!AG12)</f>
        <v>207</v>
      </c>
      <c r="R12">
        <f>IF(J_V="SI",0,Datos!AH12)</f>
        <v>163</v>
      </c>
      <c r="S12">
        <f>IF(J_V="SI",0,Datos!AI12)</f>
        <v>158</v>
      </c>
      <c r="T12">
        <f>IF(J_V="SI",0,Datos!AJ12)</f>
        <v>212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-0.14215686274509803</v>
      </c>
      <c r="I14" s="402">
        <f>IF(ISNUMBER((Tasas!C14-Datos!BE14)/Datos!BE14),(Tasas!C14-Datos!BE14)/Datos!BE14," - ")</f>
        <v>0.10346276734480973</v>
      </c>
      <c r="J14" s="400">
        <f>IF(ISNUMBER((Tasas!D14-Datos!BF14)/Datos!BF14),(Tasas!D14-Datos!BF14)/Datos!BF14," - ")</f>
        <v>-0.69889379254644046</v>
      </c>
      <c r="K14" s="403">
        <f>IF(ISNUMBER((Tasas!E14-Datos!BG14)/Datos!BG14),(Tasas!E14-Datos!BG14)/Datos!BG14," - ")</f>
        <v>7.9431036541128347E-2</v>
      </c>
      <c r="M14" t="e">
        <f>IF(Monitorios="SI",Datos!CE14,0)</f>
        <v>#REF!</v>
      </c>
      <c r="N14" t="e">
        <f>IF(Monitorios="SI",Datos!CF14,0)</f>
        <v>#REF!</v>
      </c>
      <c r="O14" t="e">
        <f>IF(Monitorios="SI",Datos!CG14,0)</f>
        <v>#REF!</v>
      </c>
      <c r="P14" t="e">
        <f>IF(Monitorios="SI",Datos!CH14,0)</f>
        <v>#REF!</v>
      </c>
      <c r="Q14">
        <f>IF(J_V="SI",0,Datos!AG14)</f>
        <v>207</v>
      </c>
      <c r="R14">
        <f>IF(J_V="SI",0,Datos!AH14)</f>
        <v>163</v>
      </c>
      <c r="S14">
        <f>IF(J_V="SI",0,Datos!AI14)</f>
        <v>158</v>
      </c>
      <c r="T14">
        <f>IF(J_V="SI",0,Datos!AJ14)</f>
        <v>212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-3.9540816326530615E-2</v>
      </c>
      <c r="E17" s="393">
        <f>IF(ISNUMBER(
   IF(D_I="SI",(Datos!J17-Datos!T17)/Datos!T17,(Datos!J17+Datos!AD17-(Datos!T17+Datos!AL17))/(Datos!T17+Datos!AL17))
     ),IF(D_I="SI",(Datos!J17-Datos!T17)/Datos!T17,(Datos!J17+Datos!AD17-(Datos!T17+Datos!AL17))/(Datos!T17+Datos!AL17))," - ")</f>
        <v>0.35070422535211265</v>
      </c>
      <c r="F17" s="393">
        <f>IF(ISNUMBER(
   IF(D_I="SI",(Datos!K17-Datos!U17)/Datos!U17,(Datos!K17+Datos!AE17-(Datos!U17+Datos!AM17))/(Datos!U17+Datos!AM17))
     ),IF(D_I="SI",(Datos!K17-Datos!U17)/Datos!U17,(Datos!K17+Datos!AE17-(Datos!U17+Datos!AM17))/(Datos!U17+Datos!AM17))," - ")</f>
        <v>0.46442953020134226</v>
      </c>
      <c r="G17" s="394">
        <f>IF(ISNUMBER(
   IF(D_I="SI",(Datos!L17-Datos!V17)/Datos!V17,(Datos!L17+Datos!AF17-(Datos!V17+Datos!AN17))/(Datos!V17+Datos!AN17))
     ),IF(D_I="SI",(Datos!L17-Datos!V17)/Datos!V17,(Datos!L17+Datos!AF17-(Datos!V17+Datos!AN17))/(Datos!V17+Datos!AN17))," - ")</f>
        <v>-0.12547528517110265</v>
      </c>
      <c r="H17" s="244">
        <f>IF(ISNUMBER((Datos!M17-Datos!W17)/Datos!W17),(Datos!M17-Datos!W17)/Datos!W17," - ")</f>
        <v>0.52459016393442626</v>
      </c>
      <c r="I17" s="395">
        <f>IF(ISNUMBER((Tasas!C17-Datos!BE17)/Datos!BE17),(Tasas!C17-Datos!BE17)/Datos!BE17," - ")</f>
        <v>-0.40282226164296198</v>
      </c>
      <c r="J17" s="394">
        <f>IF(ISNUMBER((Tasas!D17-Datos!BF17)/Datos!BF17),(Tasas!D17-Datos!BF17)/Datos!BF17," - ")</f>
        <v>4.1081276013884123E-2</v>
      </c>
      <c r="K17" s="396">
        <f>IF(ISNUMBER((Tasas!E17-Datos!BG17)/Datos!BG17),(Tasas!E17-Datos!BG17)/Datos!BG17," - ")</f>
        <v>-0.21749938955332482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-5.9523809523809521E-2</v>
      </c>
      <c r="E18" s="393">
        <f>IF(ISNUMBER(
   IF(D_I="SI",(Datos!J18-Datos!T18)/Datos!T18,(Datos!J18+Datos!AD18-(Datos!T18+Datos!AL18))/(Datos!T18+Datos!AL18))
     ),IF(D_I="SI",(Datos!J18-Datos!T18)/Datos!T18,(Datos!J18+Datos!AD18-(Datos!T18+Datos!AL18))/(Datos!T18+Datos!AL18))," - ")</f>
        <v>-9.0909090909090912E-2</v>
      </c>
      <c r="F18" s="393">
        <f>IF(ISNUMBER(
   IF(D_I="SI",(Datos!K18-Datos!U18)/Datos!U18,(Datos!K18+Datos!AE18-(Datos!U18+Datos!AM18))/(Datos!U18+Datos!AM18))
     ),IF(D_I="SI",(Datos!K18-Datos!U18)/Datos!U18,(Datos!K18+Datos!AE18-(Datos!U18+Datos!AM18))/(Datos!U18+Datos!AM18))," - ")</f>
        <v>0.3235294117647059</v>
      </c>
      <c r="G18" s="394">
        <f>IF(ISNUMBER(
   IF(D_I="SI",(Datos!L18-Datos!V18)/Datos!V18,(Datos!L18+Datos!AF18-(Datos!V18+Datos!AN18))/(Datos!V18+Datos!AN18))
     ),IF(D_I="SI",(Datos!L18-Datos!V18)/Datos!V18,(Datos!L18+Datos!AF18-(Datos!V18+Datos!AN18))/(Datos!V18+Datos!AN18))," - ")</f>
        <v>-0.35483870967741937</v>
      </c>
      <c r="H18" s="244">
        <f>IF(ISNUMBER((Datos!M18-Datos!W18)/Datos!W18),(Datos!M18-Datos!W18)/Datos!W18," - ")</f>
        <v>1.6</v>
      </c>
      <c r="I18" s="395">
        <f>IF(ISNUMBER((Tasas!C18-Datos!BE18)/Datos!BE18),(Tasas!C18-Datos!BE18)/Datos!BE18," - ")</f>
        <v>-0.51254480286738358</v>
      </c>
      <c r="J18" s="394">
        <f>IF(ISNUMBER((Tasas!D18-Datos!BF18)/Datos!BF18),(Tasas!D18-Datos!BF18)/Datos!BF18," - ")</f>
        <v>0.96444444444444422</v>
      </c>
      <c r="K18" s="396">
        <f>IF(ISNUMBER((Tasas!E18-Datos!BG18)/Datos!BG18),(Tasas!E18-Datos!BG18)/Datos!BG18," - ")</f>
        <v>-0.30075914423740518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-4.1474654377880185E-2</v>
      </c>
      <c r="E23" s="399">
        <f>IF(ISNUMBER(
   IF(D_I="SI",(Datos!J23-Datos!T23)/Datos!T23,(Datos!J23+Datos!AD23-(Datos!T23+Datos!AL23))/(Datos!T23+Datos!AL23))
     ),IF(D_I="SI",(Datos!J23-Datos!T23)/Datos!T23,(Datos!J23+Datos!AD23-(Datos!T23+Datos!AL23))/(Datos!T23+Datos!AL23))," - ")</f>
        <v>0.30749682337992373</v>
      </c>
      <c r="F23" s="399">
        <f>IF(ISNUMBER(
   IF(D_I="SI",(Datos!K23-Datos!U23)/Datos!U23,(Datos!K23+Datos!AE23-(Datos!U23+Datos!AM23))/(Datos!U23+Datos!AM23))
     ),IF(D_I="SI",(Datos!K23-Datos!U23)/Datos!U23,(Datos!K23+Datos!AE23-(Datos!U23+Datos!AM23))/(Datos!U23+Datos!AM23))," - ")</f>
        <v>0.45264452644526443</v>
      </c>
      <c r="G23" s="400">
        <f>IF(ISNUMBER(
   IF(D_I="SI",(Datos!L23-Datos!V23)/Datos!V23,(Datos!L23+Datos!AF23-(Datos!V23+Datos!AN23))/(Datos!V23+Datos!AN23))
     ),IF(D_I="SI",(Datos!L23-Datos!V23)/Datos!V23,(Datos!L23+Datos!AF23-(Datos!V23+Datos!AN23))/(Datos!V23+Datos!AN23))," - ")</f>
        <v>-0.14965986394557823</v>
      </c>
      <c r="H23" s="401">
        <f>IF(ISNUMBER((Datos!M23-Datos!W23)/Datos!W23),(Datos!M23-Datos!W23)/Datos!W23," - ")</f>
        <v>0.60606060606060608</v>
      </c>
      <c r="I23" s="402">
        <f>IF(ISNUMBER((Tasas!C23-Datos!BE23)/Datos!BE23),(Tasas!C23-Datos!BE23)/Datos!BE23," - ")</f>
        <v>-0.414626138346956</v>
      </c>
      <c r="J23" s="400">
        <f>IF(ISNUMBER((Tasas!D23-Datos!BF23)/Datos!BF23),(Tasas!D23-Datos!BF23)/Datos!BF23," - ")</f>
        <v>0.1056115772457856</v>
      </c>
      <c r="K23" s="403">
        <f>IF(ISNUMBER((Tasas!E23-Datos!BG23)/Datos!BG23),(Tasas!E23-Datos!BG23)/Datos!BG23," - ")</f>
        <v>-0.22591433855788157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-1.1382113821138212E-2</v>
      </c>
      <c r="E31" s="409">
        <f>IF(ISNUMBER(
   IF(J_V="SI",(Datos!J31-Datos!T31)/Datos!T31,(Datos!J31+Datos!Z31-(Datos!T31+Datos!AH31))/(Datos!T31+Datos!AH31))
     ),IF(J_V="SI",(Datos!J31-Datos!T31)/Datos!T31,(Datos!J31+Datos!Z31-(Datos!T31+Datos!AH31))/(Datos!T31+Datos!AH31))," - ")</f>
        <v>7.8078078078078081E-2</v>
      </c>
      <c r="F31" s="409">
        <f>IF(ISNUMBER(
   IF(J_V="SI",(Datos!K31-Datos!U31)/Datos!U31,(Datos!K31+Datos!AA31-(Datos!U31+Datos!AI31))/(Datos!U31+Datos!AI31))
     ),IF(J_V="SI",(Datos!K31-Datos!U31)/Datos!U31,(Datos!K31+Datos!AA31-(Datos!U31+Datos!AI31))/(Datos!U31+Datos!AI31))," - ")</f>
        <v>0.1271186440677966</v>
      </c>
      <c r="G31" s="410">
        <f>IF(ISNUMBER(
   IF(J_V="SI",(Datos!L31-Datos!V31)/Datos!V31,(Datos!L31+Datos!AB31-(Datos!V31+Datos!AJ31))/(Datos!V31+Datos!AJ31))
     ),IF(J_V="SI",(Datos!L31-Datos!V31)/Datos!V31,(Datos!L31+Datos!AB31-(Datos!V31+Datos!AJ31))/(Datos!V31+Datos!AJ31))," - ")</f>
        <v>-3.6270822138635139E-2</v>
      </c>
      <c r="H31" s="411">
        <f>IF(ISNUMBER((Datos!M31-Datos!W31)/Datos!W31),(Datos!M31-Datos!W31)/Datos!W31," - ")</f>
        <v>4.0740740740740744E-2</v>
      </c>
      <c r="I31" s="408">
        <f>IF(ISNUMBER((Tasas!C31-Datos!BE31)/Datos!BE31),(Tasas!C31-Datos!BE31)/Datos!BE31," - ")</f>
        <v>-0.14496208279969133</v>
      </c>
      <c r="J31" s="409">
        <f>IF(ISNUMBER((Tasas!D31-Datos!BF31)/Datos!BF31),(Tasas!D31-Datos!BF31)/Datos!BF31," - ")</f>
        <v>-0.64786967418546371</v>
      </c>
      <c r="K31" s="410">
        <f>IF(ISNUMBER((Tasas!E31-Datos!BG31)/Datos!BG31),(Tasas!E31-Datos!BG31)/Datos!BG31," - ")</f>
        <v>-9.500015862440922E-2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0.46804261558109111</v>
      </c>
      <c r="E33" s="303">
        <f t="shared" si="1"/>
        <v>0.31069448315285403</v>
      </c>
      <c r="F33" s="303">
        <f t="shared" si="1"/>
        <v>0.2393975962231171</v>
      </c>
      <c r="G33" s="304">
        <f t="shared" si="1"/>
        <v>0.3999914269469016</v>
      </c>
      <c r="H33" s="310">
        <f t="shared" si="1"/>
        <v>0.71956197937634303</v>
      </c>
      <c r="I33" s="302">
        <f t="shared" si="1"/>
        <v>0.4206455142546825</v>
      </c>
      <c r="J33" s="303">
        <f t="shared" si="1"/>
        <v>0.69093504472832257</v>
      </c>
      <c r="K33" s="304">
        <f t="shared" si="1"/>
        <v>0.35300389297450452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YRshrXtmscvb0jPNJP/XIoXWF8q387EFW15G4loXkjeqI5/1PGULTe6L9pekAOZv9R+f9inzY7cBTBAWamvZVA==" saltValue="yDLpYx0T9AHUb5L9zeRP6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2023-05-05T22:30:57Z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